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Shared\CTA\Planning\Cost Estimation\Guide\2025\"/>
    </mc:Choice>
  </mc:AlternateContent>
  <xr:revisionPtr revIDLastSave="0" documentId="13_ncr:1_{C5749665-B1D5-4C78-BA08-591FE2BE11D2}" xr6:coauthVersionLast="47" xr6:coauthVersionMax="47" xr10:uidLastSave="{00000000-0000-0000-0000-000000000000}"/>
  <bookViews>
    <workbookView xWindow="28680" yWindow="-120" windowWidth="29040" windowHeight="15720" tabRatio="688" activeTab="2" xr2:uid="{00000000-000D-0000-FFFF-FFFF00000000}"/>
  </bookViews>
  <sheets>
    <sheet name="Instructions" sheetId="25" r:id="rId1"/>
    <sheet name="Cost Guide Tables" sheetId="31" r:id="rId2"/>
    <sheet name="Exploratory cost estimate" sheetId="10" r:id="rId3"/>
    <sheet name="Line Exploratory example" sheetId="35" r:id="rId4"/>
    <sheet name="Substation Explor. example " sheetId="34" r:id="rId5"/>
    <sheet name="Exploratory cost data" sheetId="9" state="hidden" r:id="rId6"/>
    <sheet name="Costs over time estimate" sheetId="1" r:id="rId7"/>
    <sheet name="Cost over time data" sheetId="3" r:id="rId8"/>
  </sheets>
  <definedNames>
    <definedName name="_xlnm._FilterDatabase" localSheetId="1" hidden="1">'Cost Guide Tables'!#REF!</definedName>
    <definedName name="_Hlk155609209" localSheetId="1">'Cost Guide Tables'!$B$25</definedName>
    <definedName name="_xlnm.Print_Area" localSheetId="1">'Cost Guide Tables'!$A$4:$K$677</definedName>
    <definedName name="_xlnm.Print_Titles" localSheetId="1">'Cost Guide Tables'!$1:$3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2" i="10" l="1"/>
  <c r="B50" i="10"/>
  <c r="J129" i="9" l="1"/>
  <c r="J128" i="9"/>
  <c r="J130" i="9"/>
  <c r="J127" i="9"/>
  <c r="J126" i="9"/>
  <c r="H126" i="9"/>
  <c r="F76" i="10"/>
  <c r="F78" i="10" s="1"/>
  <c r="B76" i="10"/>
  <c r="B80" i="10"/>
  <c r="B78" i="10"/>
  <c r="F75" i="34" l="1"/>
  <c r="F74" i="34"/>
  <c r="C66" i="35"/>
  <c r="C65" i="35"/>
  <c r="C60" i="35"/>
  <c r="C55" i="35" l="1"/>
  <c r="F119" i="35"/>
  <c r="F118" i="35"/>
  <c r="F120" i="35" s="1"/>
  <c r="F124" i="35" s="1"/>
  <c r="F138" i="35" s="1"/>
  <c r="F108" i="35"/>
  <c r="F107" i="35"/>
  <c r="F109" i="35" s="1"/>
  <c r="F113" i="35" s="1"/>
  <c r="F137" i="35" s="1"/>
  <c r="F97" i="35"/>
  <c r="F102" i="35" s="1"/>
  <c r="F136" i="35" s="1"/>
  <c r="F84" i="35"/>
  <c r="F89" i="35" s="1"/>
  <c r="F90" i="35" s="1"/>
  <c r="F135" i="35" s="1"/>
  <c r="E97" i="35"/>
  <c r="E84" i="35"/>
  <c r="E75" i="35"/>
  <c r="F75" i="35" s="1"/>
  <c r="F80" i="35" s="1"/>
  <c r="F74" i="35"/>
  <c r="F67" i="35"/>
  <c r="F66" i="35"/>
  <c r="F65" i="35"/>
  <c r="F60" i="35"/>
  <c r="F52" i="35"/>
  <c r="F53" i="35"/>
  <c r="F54" i="35"/>
  <c r="F51" i="35"/>
  <c r="F46" i="35"/>
  <c r="F133" i="35" s="1"/>
  <c r="F43" i="35"/>
  <c r="F44" i="35"/>
  <c r="F45" i="35"/>
  <c r="F42" i="35"/>
  <c r="D34" i="35"/>
  <c r="F34" i="35" s="1"/>
  <c r="D35" i="35"/>
  <c r="F35" i="35" s="1"/>
  <c r="D36" i="35"/>
  <c r="F36" i="35" s="1"/>
  <c r="D33" i="35"/>
  <c r="F33" i="35" s="1"/>
  <c r="F37" i="35" s="1"/>
  <c r="F132" i="35" s="1"/>
  <c r="E25" i="35"/>
  <c r="F25" i="35" s="1"/>
  <c r="E26" i="35"/>
  <c r="F26" i="35" s="1"/>
  <c r="E27" i="35"/>
  <c r="F27" i="35" s="1"/>
  <c r="E24" i="35"/>
  <c r="F24" i="35" s="1"/>
  <c r="D17" i="35"/>
  <c r="F17" i="35" s="1"/>
  <c r="D18" i="35"/>
  <c r="F18" i="35" s="1"/>
  <c r="D16" i="35"/>
  <c r="F104" i="34"/>
  <c r="F121" i="34" s="1"/>
  <c r="F102" i="34"/>
  <c r="F103" i="34"/>
  <c r="F101" i="34"/>
  <c r="F97" i="34"/>
  <c r="F120" i="34" s="1"/>
  <c r="F93" i="34"/>
  <c r="F119" i="34" s="1"/>
  <c r="F89" i="34"/>
  <c r="F118" i="34" s="1"/>
  <c r="F85" i="34"/>
  <c r="F117" i="34" s="1"/>
  <c r="F81" i="34"/>
  <c r="F82" i="34"/>
  <c r="F83" i="34"/>
  <c r="F84" i="34"/>
  <c r="F80" i="34"/>
  <c r="F76" i="34"/>
  <c r="F116" i="34" s="1"/>
  <c r="F71" i="34"/>
  <c r="F72" i="34"/>
  <c r="F73" i="34"/>
  <c r="F70" i="34"/>
  <c r="F66" i="34"/>
  <c r="F115" i="34" s="1"/>
  <c r="F61" i="34"/>
  <c r="F62" i="34"/>
  <c r="F63" i="34"/>
  <c r="F64" i="34"/>
  <c r="F65" i="34"/>
  <c r="E61" i="34"/>
  <c r="E62" i="34"/>
  <c r="E63" i="34"/>
  <c r="E64" i="34"/>
  <c r="E65" i="34"/>
  <c r="E60" i="34"/>
  <c r="F60" i="34" s="1"/>
  <c r="F55" i="34"/>
  <c r="F114" i="34" s="1"/>
  <c r="F52" i="34"/>
  <c r="F53" i="34"/>
  <c r="F54" i="34"/>
  <c r="F51" i="34"/>
  <c r="F44" i="34"/>
  <c r="F45" i="34"/>
  <c r="F43" i="34"/>
  <c r="E44" i="34"/>
  <c r="E45" i="34"/>
  <c r="E46" i="34"/>
  <c r="F46" i="34" s="1"/>
  <c r="F47" i="34" s="1"/>
  <c r="F113" i="34" s="1"/>
  <c r="E43" i="34"/>
  <c r="F38" i="34"/>
  <c r="F112" i="34" s="1"/>
  <c r="F35" i="34"/>
  <c r="F111" i="34" s="1"/>
  <c r="F33" i="34"/>
  <c r="F34" i="34"/>
  <c r="F32" i="34"/>
  <c r="F27" i="34"/>
  <c r="F28" i="34" s="1"/>
  <c r="F110" i="34" s="1"/>
  <c r="F109" i="34" l="1"/>
  <c r="F107" i="34"/>
  <c r="F108" i="34"/>
  <c r="F68" i="35"/>
  <c r="F134" i="35" s="1"/>
  <c r="F28" i="35"/>
  <c r="F131" i="35" s="1"/>
  <c r="F122" i="34" l="1"/>
  <c r="F124" i="34"/>
  <c r="F125" i="34" s="1"/>
  <c r="F25" i="1"/>
  <c r="E24" i="1"/>
  <c r="C18" i="3"/>
  <c r="B18" i="3"/>
  <c r="J7" i="1"/>
  <c r="F126" i="34" l="1"/>
  <c r="F128" i="34" s="1"/>
  <c r="F129" i="34" s="1"/>
  <c r="B38" i="10"/>
  <c r="B27" i="10"/>
  <c r="B53" i="10"/>
  <c r="D53" i="10" s="1"/>
  <c r="B54" i="10" l="1"/>
  <c r="D54" i="10" s="1"/>
  <c r="B55" i="10" l="1"/>
  <c r="B40" i="10" l="1"/>
  <c r="B41" i="10" l="1"/>
  <c r="D41" i="10" s="1"/>
  <c r="B42" i="10" l="1"/>
  <c r="D42" i="10" s="1"/>
  <c r="B43" i="10" l="1"/>
  <c r="B29" i="10"/>
  <c r="B30" i="10" l="1"/>
  <c r="D30" i="10" s="1"/>
  <c r="B31" i="10" l="1"/>
  <c r="D31" i="10" s="1"/>
  <c r="B32" i="10" l="1"/>
  <c r="D25" i="1" l="1"/>
  <c r="D26" i="1" s="1"/>
  <c r="D27" i="1" s="1"/>
  <c r="A21" i="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H20" i="1"/>
  <c r="H21" i="1" s="1"/>
  <c r="H22" i="1" s="1"/>
  <c r="H23" i="1" s="1"/>
  <c r="H24" i="1" s="1"/>
  <c r="H25" i="1" s="1"/>
  <c r="F26" i="1" l="1"/>
  <c r="F27" i="1" s="1"/>
  <c r="F28" i="1" s="1"/>
  <c r="F29" i="1" s="1"/>
  <c r="F30" i="1" s="1"/>
  <c r="F31" i="1" s="1"/>
  <c r="F32" i="1" s="1"/>
  <c r="F33" i="1" s="1"/>
  <c r="F34" i="1" s="1"/>
  <c r="F35" i="1" s="1"/>
  <c r="F36" i="1" s="1"/>
  <c r="F37" i="1" s="1"/>
  <c r="F38" i="1" s="1"/>
  <c r="F39" i="1" s="1"/>
  <c r="F40" i="1" s="1"/>
  <c r="F41" i="1" s="1"/>
  <c r="F42" i="1" s="1"/>
  <c r="F43" i="1" s="1"/>
  <c r="F44" i="1" s="1"/>
  <c r="H26" i="1"/>
  <c r="D28" i="1"/>
  <c r="D29" i="1" l="1"/>
  <c r="H27" i="1"/>
  <c r="H28" i="1" l="1"/>
  <c r="D30" i="1"/>
  <c r="D31" i="1" l="1"/>
  <c r="H29" i="1"/>
  <c r="B16" i="10" l="1"/>
  <c r="B18" i="10" s="1"/>
  <c r="H30" i="1"/>
  <c r="D32" i="1"/>
  <c r="B19" i="10" l="1"/>
  <c r="D19" i="10" s="1"/>
  <c r="B61" i="10"/>
  <c r="H31" i="1"/>
  <c r="D33" i="1"/>
  <c r="B62" i="10" l="1"/>
  <c r="B66" i="10" s="1"/>
  <c r="B67" i="10" s="1"/>
  <c r="B68" i="10" s="1"/>
  <c r="B20" i="10"/>
  <c r="D20" i="10" s="1"/>
  <c r="D9" i="1"/>
  <c r="F8" i="1"/>
  <c r="H8" i="1"/>
  <c r="G8" i="1"/>
  <c r="I8" i="1"/>
  <c r="J8" i="1"/>
  <c r="D34" i="1"/>
  <c r="H32" i="1"/>
  <c r="B21" i="10" l="1"/>
  <c r="B69" i="10"/>
  <c r="F9" i="1"/>
  <c r="F10" i="1" s="1"/>
  <c r="G9" i="1"/>
  <c r="I9" i="1"/>
  <c r="H9" i="1"/>
  <c r="J9" i="1"/>
  <c r="H33" i="1"/>
  <c r="D35" i="1"/>
  <c r="F11" i="1" l="1"/>
  <c r="H34" i="1"/>
  <c r="D36" i="1"/>
  <c r="F13" i="1" l="1"/>
  <c r="G10" i="1"/>
  <c r="G11" i="1" s="1"/>
  <c r="G13" i="1" s="1"/>
  <c r="D37" i="1"/>
  <c r="H35" i="1"/>
  <c r="H10" i="1" l="1"/>
  <c r="H36" i="1"/>
  <c r="D38" i="1"/>
  <c r="H11" i="1" l="1"/>
  <c r="H13" i="1" s="1"/>
  <c r="D39" i="1"/>
  <c r="H37" i="1"/>
  <c r="I10" i="1" l="1"/>
  <c r="I11" i="1" s="1"/>
  <c r="J10" i="1" s="1"/>
  <c r="D10" i="1" s="1"/>
  <c r="D15" i="1" s="1"/>
  <c r="H38" i="1"/>
  <c r="D40" i="1"/>
  <c r="I13" i="1" l="1"/>
  <c r="J11" i="1"/>
  <c r="D41" i="1"/>
  <c r="H39" i="1"/>
  <c r="J13" i="1" l="1"/>
  <c r="D13" i="1" s="1"/>
  <c r="B25" i="1" s="1"/>
  <c r="D11" i="1"/>
  <c r="H40" i="1"/>
  <c r="D42" i="1"/>
  <c r="B26" i="1" l="1"/>
  <c r="C25" i="1"/>
  <c r="E25" i="1" s="1"/>
  <c r="G25" i="1" s="1"/>
  <c r="I25" i="1" s="1"/>
  <c r="D14" i="1"/>
  <c r="C26" i="1"/>
  <c r="E26" i="1" s="1"/>
  <c r="G26" i="1" s="1"/>
  <c r="I26" i="1" s="1"/>
  <c r="B27" i="1"/>
  <c r="D43" i="1"/>
  <c r="H41" i="1"/>
  <c r="C27" i="1" l="1"/>
  <c r="E27" i="1" s="1"/>
  <c r="G27" i="1" s="1"/>
  <c r="I27" i="1" s="1"/>
  <c r="B28" i="1"/>
  <c r="H42" i="1"/>
  <c r="D44" i="1"/>
  <c r="C28" i="1" l="1"/>
  <c r="E28" i="1" s="1"/>
  <c r="G28" i="1" s="1"/>
  <c r="I28" i="1" s="1"/>
  <c r="B29" i="1"/>
  <c r="H43" i="1"/>
  <c r="C29" i="1" l="1"/>
  <c r="E29" i="1" s="1"/>
  <c r="G29" i="1" s="1"/>
  <c r="I29" i="1" s="1"/>
  <c r="B30" i="1"/>
  <c r="H44" i="1"/>
  <c r="C30" i="1" l="1"/>
  <c r="E30" i="1" s="1"/>
  <c r="G30" i="1" s="1"/>
  <c r="I30" i="1" s="1"/>
  <c r="B31" i="1"/>
  <c r="B32" i="1" l="1"/>
  <c r="C31" i="1"/>
  <c r="E31" i="1" s="1"/>
  <c r="G31" i="1" s="1"/>
  <c r="I31" i="1" s="1"/>
  <c r="B33" i="1" l="1"/>
  <c r="C32" i="1"/>
  <c r="E32" i="1" s="1"/>
  <c r="G32" i="1" s="1"/>
  <c r="I32" i="1" s="1"/>
  <c r="C33" i="1" l="1"/>
  <c r="E33" i="1" s="1"/>
  <c r="G33" i="1" s="1"/>
  <c r="I33" i="1" s="1"/>
  <c r="B34" i="1"/>
  <c r="B35" i="1" l="1"/>
  <c r="C34" i="1"/>
  <c r="E34" i="1" s="1"/>
  <c r="G34" i="1" s="1"/>
  <c r="I34" i="1" s="1"/>
  <c r="B36" i="1" l="1"/>
  <c r="C35" i="1"/>
  <c r="E35" i="1" s="1"/>
  <c r="G35" i="1" s="1"/>
  <c r="I35" i="1" s="1"/>
  <c r="C36" i="1" l="1"/>
  <c r="E36" i="1" s="1"/>
  <c r="G36" i="1" s="1"/>
  <c r="I36" i="1" s="1"/>
  <c r="B37" i="1"/>
  <c r="C37" i="1" l="1"/>
  <c r="E37" i="1" s="1"/>
  <c r="G37" i="1" s="1"/>
  <c r="I37" i="1" s="1"/>
  <c r="B38" i="1"/>
  <c r="B39" i="1" l="1"/>
  <c r="C38" i="1"/>
  <c r="E38" i="1" s="1"/>
  <c r="G38" i="1" s="1"/>
  <c r="I38" i="1" s="1"/>
  <c r="C39" i="1" l="1"/>
  <c r="E39" i="1" s="1"/>
  <c r="G39" i="1" s="1"/>
  <c r="I39" i="1" s="1"/>
  <c r="B40" i="1"/>
  <c r="C40" i="1" l="1"/>
  <c r="E40" i="1" s="1"/>
  <c r="G40" i="1" s="1"/>
  <c r="I40" i="1" s="1"/>
  <c r="B41" i="1"/>
  <c r="B42" i="1" l="1"/>
  <c r="C41" i="1"/>
  <c r="E41" i="1" s="1"/>
  <c r="G41" i="1" s="1"/>
  <c r="I41" i="1" s="1"/>
  <c r="B43" i="1" l="1"/>
  <c r="C42" i="1"/>
  <c r="E42" i="1" s="1"/>
  <c r="G42" i="1" s="1"/>
  <c r="I42" i="1" s="1"/>
  <c r="C43" i="1" l="1"/>
  <c r="E43" i="1" s="1"/>
  <c r="G43" i="1" s="1"/>
  <c r="I43" i="1" s="1"/>
  <c r="B44" i="1"/>
  <c r="C44" i="1" s="1"/>
  <c r="E44" i="1" s="1"/>
  <c r="G44" i="1" s="1"/>
  <c r="I44" i="1" s="1"/>
  <c r="I45" i="1" l="1"/>
  <c r="F16" i="35" l="1"/>
  <c r="F19" i="35" s="1"/>
  <c r="F130" i="35" s="1"/>
  <c r="F128" i="35" l="1"/>
  <c r="F129" i="35"/>
  <c r="F127" i="35"/>
  <c r="F139" i="35" l="1"/>
  <c r="F141" i="35" l="1"/>
  <c r="F142" i="35" l="1"/>
  <c r="F143" i="35" s="1"/>
  <c r="F145" i="35" s="1"/>
  <c r="F146" i="35" s="1"/>
</calcChain>
</file>

<file path=xl/sharedStrings.xml><?xml version="1.0" encoding="utf-8"?>
<sst xmlns="http://schemas.openxmlformats.org/spreadsheetml/2006/main" count="2653" uniqueCount="758">
  <si>
    <t>MISO</t>
  </si>
  <si>
    <t>Input cells-teal color</t>
  </si>
  <si>
    <t>Construction cost spend per year allocation</t>
  </si>
  <si>
    <t>State</t>
  </si>
  <si>
    <t>Texas</t>
  </si>
  <si>
    <t>Year 1</t>
  </si>
  <si>
    <t>Year 2</t>
  </si>
  <si>
    <t>Year 3</t>
  </si>
  <si>
    <t>Year 4</t>
  </si>
  <si>
    <t>Year 5</t>
  </si>
  <si>
    <t>Inflation Rate</t>
  </si>
  <si>
    <t>Project Cost (PC) Present Year</t>
  </si>
  <si>
    <t>Contingency</t>
  </si>
  <si>
    <t>AFUDC</t>
  </si>
  <si>
    <t>Year #</t>
  </si>
  <si>
    <t>Gross Plant
Project Cost
 ISD Yr.$
 (PI)</t>
  </si>
  <si>
    <t>Net Plant
Project Cost
 ISD Yr.$
 (PI)</t>
  </si>
  <si>
    <t>Annual
Depreciation
Factor</t>
  </si>
  <si>
    <t>Expense
Factor</t>
  </si>
  <si>
    <t>Return Factor
subject to decrease in net plant</t>
  </si>
  <si>
    <t>Annual Cost to be Recovered</t>
  </si>
  <si>
    <t>MTEP Year</t>
  </si>
  <si>
    <t>Arkansas</t>
  </si>
  <si>
    <t>Illinois</t>
  </si>
  <si>
    <t>Indiana</t>
  </si>
  <si>
    <t>Iowa</t>
  </si>
  <si>
    <t>Kentucky</t>
  </si>
  <si>
    <t>Louisiana</t>
  </si>
  <si>
    <t>Michigan</t>
  </si>
  <si>
    <t>Minnesota</t>
  </si>
  <si>
    <t>Mississippi</t>
  </si>
  <si>
    <t>Missouri</t>
  </si>
  <si>
    <t>Montana</t>
  </si>
  <si>
    <t>North Dakota</t>
  </si>
  <si>
    <t>South Dakota</t>
  </si>
  <si>
    <t>Wisconsin</t>
  </si>
  <si>
    <t xml:space="preserve"> </t>
  </si>
  <si>
    <t>Net Present Value Cost</t>
  </si>
  <si>
    <t>Present Value
Discount
Rate</t>
  </si>
  <si>
    <t>Expense Factor</t>
  </si>
  <si>
    <t xml:space="preserve">Pasture </t>
  </si>
  <si>
    <t>Acquisition</t>
  </si>
  <si>
    <t>Regulatory &amp; permitting</t>
  </si>
  <si>
    <t>ACRE</t>
  </si>
  <si>
    <t>Crop</t>
  </si>
  <si>
    <t xml:space="preserve">State:  </t>
  </si>
  <si>
    <t xml:space="preserve">Voltage class: </t>
  </si>
  <si>
    <t xml:space="preserve">Structure type:  </t>
  </si>
  <si>
    <t xml:space="preserve">Line length (miles):  </t>
  </si>
  <si>
    <t xml:space="preserve">Conductor:  </t>
  </si>
  <si>
    <t xml:space="preserve">Conductor type:  </t>
  </si>
  <si>
    <t xml:space="preserve">Conductors per phase:  </t>
  </si>
  <si>
    <t xml:space="preserve">OPGW quantity:  </t>
  </si>
  <si>
    <t xml:space="preserve">Shieldwire quantity:  </t>
  </si>
  <si>
    <t>Project management</t>
  </si>
  <si>
    <t>Engineering, environmental studies, and testing and commissioning</t>
  </si>
  <si>
    <t>Right-of-Way, land acquisition, and regulatory and permitting</t>
  </si>
  <si>
    <t>Structure foundations</t>
  </si>
  <si>
    <t>Structure and conductor accessories</t>
  </si>
  <si>
    <t>Structure construction labor</t>
  </si>
  <si>
    <t>Conductor material</t>
  </si>
  <si>
    <t>Conductor construction labor</t>
  </si>
  <si>
    <t>OPGW, and/or shieldwire material</t>
  </si>
  <si>
    <t>OPGW and/or shieldwire construction labor</t>
  </si>
  <si>
    <t>Grand Total</t>
  </si>
  <si>
    <t>Pasture land</t>
  </si>
  <si>
    <t>Crop land</t>
  </si>
  <si>
    <t>Suburban/urban land</t>
  </si>
  <si>
    <t>Line Type</t>
  </si>
  <si>
    <t>Tangent</t>
  </si>
  <si>
    <t>69 kV</t>
  </si>
  <si>
    <t>115 kV</t>
  </si>
  <si>
    <t>138 kV</t>
  </si>
  <si>
    <t>161 kV</t>
  </si>
  <si>
    <t>230 kV</t>
  </si>
  <si>
    <t>345 kV</t>
  </si>
  <si>
    <t>500 kV</t>
  </si>
  <si>
    <t>A/C</t>
  </si>
  <si>
    <t>Urban/
Suburban</t>
  </si>
  <si>
    <t>Terrain Type</t>
  </si>
  <si>
    <t>Forested</t>
  </si>
  <si>
    <t>Wetland</t>
  </si>
  <si>
    <t>Steel Weights (lbs.)</t>
  </si>
  <si>
    <t>Foundation size (Cu. Yd)</t>
  </si>
  <si>
    <t>Material</t>
  </si>
  <si>
    <t>Installation</t>
  </si>
  <si>
    <t>Hardware</t>
  </si>
  <si>
    <t>Foundation</t>
  </si>
  <si>
    <t>Non-angled deadend</t>
  </si>
  <si>
    <t>Angled deadend</t>
  </si>
  <si>
    <t>Single</t>
  </si>
  <si>
    <t>Steel Pole</t>
  </si>
  <si>
    <t>Type</t>
  </si>
  <si>
    <t>Running angle</t>
  </si>
  <si>
    <t>HVDC</t>
  </si>
  <si>
    <t>Circuit</t>
  </si>
  <si>
    <t>Double</t>
  </si>
  <si>
    <t>± 250 kV</t>
  </si>
  <si>
    <t>± 400 kV</t>
  </si>
  <si>
    <t>± 500 kV</t>
  </si>
  <si>
    <t>± 600 kV</t>
  </si>
  <si>
    <t>Right-of-way width in feet</t>
  </si>
  <si>
    <t xml:space="preserve">Line Type:  </t>
  </si>
  <si>
    <t xml:space="preserve">Facility type (Circuit):  </t>
  </si>
  <si>
    <t>List</t>
  </si>
  <si>
    <t>Unit / Acres</t>
  </si>
  <si>
    <t>Unit Cost</t>
  </si>
  <si>
    <t>Project Cost</t>
  </si>
  <si>
    <t>Structures</t>
  </si>
  <si>
    <t>Concatenate</t>
  </si>
  <si>
    <t>Units per Mile</t>
  </si>
  <si>
    <t>Cost per Pound</t>
  </si>
  <si>
    <t>Number of Foundations</t>
  </si>
  <si>
    <t>Total Cubic Yards</t>
  </si>
  <si>
    <t>Total Structure Material</t>
  </si>
  <si>
    <t>ROW width in feet</t>
  </si>
  <si>
    <t>Allocation %</t>
  </si>
  <si>
    <t>New</t>
  </si>
  <si>
    <t>Rebuild</t>
  </si>
  <si>
    <t>N/A</t>
  </si>
  <si>
    <t>Reconductor</t>
  </si>
  <si>
    <t>Sub</t>
  </si>
  <si>
    <t>Line</t>
  </si>
  <si>
    <t xml:space="preserve">New / Rebuild / Reconductor:  </t>
  </si>
  <si>
    <t xml:space="preserve">Voltage class:  </t>
  </si>
  <si>
    <t>Upgrade - Add one position (straight or ring bus)</t>
  </si>
  <si>
    <t>Upgrade - Add one position (breaker-and-a-half bus)</t>
  </si>
  <si>
    <t>Upgrade - Add one position (double-breaker bus)</t>
  </si>
  <si>
    <t>Upgrade - Add two positions (straight or ring bus)</t>
  </si>
  <si>
    <t>Upgrade - Add two positions (breaker-and-a-half bus)</t>
  </si>
  <si>
    <t>Upgrade - Add two positions (double-breaker bus)</t>
  </si>
  <si>
    <t>New - 4 positions (ring bus)</t>
  </si>
  <si>
    <t>New - 4 positions (breaker-and-a-half bus)</t>
  </si>
  <si>
    <t>New - 4 positions (double-breaker bus)</t>
  </si>
  <si>
    <t>New - 6 positions (ring bus)</t>
  </si>
  <si>
    <t>New - 6 positions (breaker-and-a-half bus)</t>
  </si>
  <si>
    <t>New - 6 positions (double-breaker bus)</t>
  </si>
  <si>
    <t>HVDC - Line Commutated Converter</t>
  </si>
  <si>
    <t>HVDC - Voltage Source Converter</t>
  </si>
  <si>
    <t xml:space="preserve">Facility:  </t>
  </si>
  <si>
    <t xml:space="preserve">Circuit:  </t>
  </si>
  <si>
    <t xml:space="preserve">Line type:  </t>
  </si>
  <si>
    <t>Enter via drop down list</t>
  </si>
  <si>
    <t>Substation #1</t>
  </si>
  <si>
    <t>Substation #2</t>
  </si>
  <si>
    <t>Administrative &amp; General overhead (A&amp;G)</t>
  </si>
  <si>
    <t>Structure material</t>
  </si>
  <si>
    <t>Structure foundation</t>
  </si>
  <si>
    <t>Number of Structures</t>
  </si>
  <si>
    <t>Cost per Unit</t>
  </si>
  <si>
    <t>Total Steel Pounds</t>
  </si>
  <si>
    <t>ACSR</t>
  </si>
  <si>
    <t>ACSS</t>
  </si>
  <si>
    <t>795 "Drake"</t>
  </si>
  <si>
    <t>Transformer secondary voltage (if applicable)</t>
  </si>
  <si>
    <t>Transformer</t>
  </si>
  <si>
    <t>This is not a Planning or Scoping level estimate</t>
  </si>
  <si>
    <t>Amounts include overhead, 30% contingency, 7.5% AFUDC</t>
  </si>
  <si>
    <t>Enter number of miles - recommend 30% adder to the straight line distance for exploratory estimate</t>
  </si>
  <si>
    <t>Project Cost from above</t>
  </si>
  <si>
    <t>Additional  Cost  not included above</t>
  </si>
  <si>
    <t>Project Cost Subtotal</t>
  </si>
  <si>
    <t>Enter MVA top rating (only type the number, the cell format will add the MVA)</t>
  </si>
  <si>
    <t>Unit of Measure</t>
  </si>
  <si>
    <t>Each</t>
  </si>
  <si>
    <t>Miles</t>
  </si>
  <si>
    <t>Forested clearing</t>
  </si>
  <si>
    <t>Wetland mitigation credits</t>
  </si>
  <si>
    <t>Wetland matting &amp; construction</t>
  </si>
  <si>
    <t>Mountainous</t>
  </si>
  <si>
    <t>Number of Units</t>
  </si>
  <si>
    <t>Conductor Material</t>
  </si>
  <si>
    <t>$ per Phase</t>
  </si>
  <si>
    <t>Conductor (Type / Phase)</t>
  </si>
  <si>
    <t>Sub-total Project Implementation</t>
  </si>
  <si>
    <t>Sub-total Project Costs</t>
  </si>
  <si>
    <t>Contingency:</t>
  </si>
  <si>
    <t>AFUDC:</t>
  </si>
  <si>
    <t xml:space="preserve">Sub-total  </t>
  </si>
  <si>
    <t xml:space="preserve">Total Structure and conductor accessories  </t>
  </si>
  <si>
    <t>Structure construction labor "Installation data"</t>
  </si>
  <si>
    <t>Shieldwire</t>
  </si>
  <si>
    <t>OPGW</t>
  </si>
  <si>
    <t>$ per 1,000 feet</t>
  </si>
  <si>
    <t>Quantity</t>
  </si>
  <si>
    <t>Total cost per 1,000 feet</t>
  </si>
  <si>
    <t>Mile to feet</t>
  </si>
  <si>
    <t>Sag, clip, waste factor</t>
  </si>
  <si>
    <t>3 Phase</t>
  </si>
  <si>
    <t>Conductor Construction Labor "Installation data"</t>
  </si>
  <si>
    <t>Wetland percentage</t>
  </si>
  <si>
    <t>Project length</t>
  </si>
  <si>
    <t>Level ground with light vegetation</t>
  </si>
  <si>
    <t>Jumpers, conduit, wiring, grounding</t>
  </si>
  <si>
    <t>Circuit breaker</t>
  </si>
  <si>
    <t>Foundation size Cu. Yd.</t>
  </si>
  <si>
    <t>Steel stand weight</t>
  </si>
  <si>
    <t>Steel stand installation</t>
  </si>
  <si>
    <t>MVAr</t>
  </si>
  <si>
    <t>Control enclosure</t>
  </si>
  <si>
    <t>Battery and battery charger</t>
  </si>
  <si>
    <t>Communication equipment</t>
  </si>
  <si>
    <t>Station service power</t>
  </si>
  <si>
    <t>Relay panel</t>
  </si>
  <si>
    <t>Control cable</t>
  </si>
  <si>
    <t>Conduit</t>
  </si>
  <si>
    <t>Cable trench</t>
  </si>
  <si>
    <t>Power Transfer</t>
  </si>
  <si>
    <t>Assumed Reactive Power Need</t>
  </si>
  <si>
    <t>Ground electrode line length</t>
  </si>
  <si>
    <t>Valve hall</t>
  </si>
  <si>
    <t>Reactive power</t>
  </si>
  <si>
    <t>Ground electrode line</t>
  </si>
  <si>
    <t>Ground electrode</t>
  </si>
  <si>
    <t>feet</t>
  </si>
  <si>
    <t>MVA</t>
  </si>
  <si>
    <t>Land acquisition, and regulatory and permitting</t>
  </si>
  <si>
    <t>Site work</t>
  </si>
  <si>
    <t>Electrical equipment material</t>
  </si>
  <si>
    <t>Electrical equipment construction labor</t>
  </si>
  <si>
    <t>Relay panels</t>
  </si>
  <si>
    <t>Communication system</t>
  </si>
  <si>
    <t>Control cable, conduit, and cable trench</t>
  </si>
  <si>
    <t>Facility type and scope of work:</t>
  </si>
  <si>
    <t>New site - 4 positions (double-breaker bus)</t>
  </si>
  <si>
    <t xml:space="preserve">Land Type: </t>
  </si>
  <si>
    <t xml:space="preserve">Terrain Type: </t>
  </si>
  <si>
    <t>Units</t>
  </si>
  <si>
    <t>Land required</t>
  </si>
  <si>
    <t>acres</t>
  </si>
  <si>
    <t>miles</t>
  </si>
  <si>
    <t>each</t>
  </si>
  <si>
    <t>set of 3</t>
  </si>
  <si>
    <t>3-phase</t>
  </si>
  <si>
    <t>per foot</t>
  </si>
  <si>
    <t>Control Enclosure</t>
  </si>
  <si>
    <t>Disconnect switch</t>
  </si>
  <si>
    <t>Bus support, bus, and fittings</t>
  </si>
  <si>
    <t>Access road</t>
  </si>
  <si>
    <t>Deadend structure</t>
  </si>
  <si>
    <t>Power transformer</t>
  </si>
  <si>
    <t>Voltage transformer</t>
  </si>
  <si>
    <t>Steel support structure material</t>
  </si>
  <si>
    <t>Number of units</t>
  </si>
  <si>
    <t>Steel support structure construction labor</t>
  </si>
  <si>
    <t>Cost per Cu. Yd.</t>
  </si>
  <si>
    <t>All except comm. equip.</t>
  </si>
  <si>
    <t>Control enclosure - not including communication equipment</t>
  </si>
  <si>
    <t>Access Road</t>
  </si>
  <si>
    <t>Unit Cost per mile</t>
  </si>
  <si>
    <t>Acres</t>
  </si>
  <si>
    <t>Cost per acre</t>
  </si>
  <si>
    <t>Land &amp; Terrain Type</t>
  </si>
  <si>
    <t>Applies to all types</t>
  </si>
  <si>
    <t>Wastage, Sag, Clipping</t>
  </si>
  <si>
    <t>Feet to Mile calculation</t>
  </si>
  <si>
    <t>Conductor phases</t>
  </si>
  <si>
    <t>OPGW and /or Shieldwire "Material data"</t>
  </si>
  <si>
    <t>OPGW and /or Shieldwire "Installation data"</t>
  </si>
  <si>
    <t>Electrical equipment material - Power transformer (MVA)</t>
  </si>
  <si>
    <t>Hardware/Insulators/Grounding</t>
  </si>
  <si>
    <t>Line Commutated Converter</t>
  </si>
  <si>
    <t>Voltage Source Converter</t>
  </si>
  <si>
    <t>Percentage</t>
  </si>
  <si>
    <t>Forested land</t>
  </si>
  <si>
    <t>Substations foundations</t>
  </si>
  <si>
    <t>Access roads</t>
  </si>
  <si>
    <t>Overview of tabs in excel file</t>
  </si>
  <si>
    <r>
      <rPr>
        <u/>
        <sz val="11"/>
        <color theme="1"/>
        <rFont val="Arial"/>
        <family val="2"/>
      </rPr>
      <t>Exploratory cost estimate tab</t>
    </r>
    <r>
      <rPr>
        <sz val="11"/>
        <color theme="1"/>
        <rFont val="Arial"/>
        <family val="2"/>
      </rPr>
      <t>: User enters in all the scopes of work for the potential project.</t>
    </r>
  </si>
  <si>
    <r>
      <rPr>
        <u/>
        <sz val="11"/>
        <color theme="1"/>
        <rFont val="Arial"/>
        <family val="2"/>
      </rPr>
      <t>Costs over time estimate tab</t>
    </r>
    <r>
      <rPr>
        <sz val="11"/>
        <color theme="1"/>
        <rFont val="Arial"/>
        <family val="2"/>
      </rPr>
      <t>: Estimated life-cycle costs for the first 20 years of project in-service are calcuated.</t>
    </r>
  </si>
  <si>
    <t>Disclaimer</t>
  </si>
  <si>
    <t>This document is prepared for informational purposes only to support MISO planning staff in developing cost estimates and deriving benefit-to-cost ratios for solutions proposed for inclusion in the MISO Transmission Expansion Plan (MTEP). MISO’s cost estimation approach is based on staff experience, vendor consultation, industry practice, and stakeholder feedback. MISO makes every effort to develop its cost estimates from the most accurate and appropriate assumptions and information available at that time. However, MISO cannot and does not guarantee the accuracy of information, assumptions, judgments, or opinions contained herein or derived therefrom. MISO may revise or terminate this document at any time at its discretion without notice. MISO’s cost estimation assumptions are not an indication or a direction for how any particular project shall be designed or built.</t>
  </si>
  <si>
    <t>765 kV</t>
  </si>
  <si>
    <t>PI to In Service cost "Nominal"</t>
  </si>
  <si>
    <t>New - 3 positions (ring bus)</t>
  </si>
  <si>
    <t>New - 3 positions (breaker-and-a-half bus)</t>
  </si>
  <si>
    <t>New - 3 positions (double-breaker bus)</t>
  </si>
  <si>
    <t>New - 5 positions (double-breaker bus)</t>
  </si>
  <si>
    <t>± 640 kV</t>
  </si>
  <si>
    <t>Average</t>
  </si>
  <si>
    <t>% increase from current year $</t>
  </si>
  <si>
    <t>New - 5 positions (breaker-and-a-half bus)</t>
  </si>
  <si>
    <t>Electrical equipment material - (MVAr) type</t>
  </si>
  <si>
    <t>MVAr Equipment</t>
  </si>
  <si>
    <t>AFUDC effective %</t>
  </si>
  <si>
    <t>AFUDC is calculated based on the average spend for the current year plus the cumulative spend from prior years.</t>
  </si>
  <si>
    <r>
      <rPr>
        <u/>
        <sz val="11"/>
        <color theme="1"/>
        <rFont val="Arial"/>
        <family val="2"/>
      </rPr>
      <t>Convert to Nominal tab</t>
    </r>
    <r>
      <rPr>
        <sz val="11"/>
        <color theme="1"/>
        <rFont val="Arial"/>
        <family val="2"/>
      </rPr>
      <t>: Convert current year cost to "nominal" cost to construct using both an inflation faor and an estimated cash flow by year.</t>
    </r>
  </si>
  <si>
    <t>Structure Hardware / Insulators / Grounding - "Hardware" data</t>
  </si>
  <si>
    <t>Conductor "Materials" data plus "Accessories" data</t>
  </si>
  <si>
    <t>Conductor Accessories</t>
  </si>
  <si>
    <t>Total Conductor materials and accessories</t>
  </si>
  <si>
    <t>Steel support structure installation</t>
  </si>
  <si>
    <t>Electrical equipment installation</t>
  </si>
  <si>
    <t>Return Factor</t>
  </si>
  <si>
    <t xml:space="preserve">Primary voltage class:  </t>
  </si>
  <si>
    <t xml:space="preserve">Secondary voltage class:  </t>
  </si>
  <si>
    <t xml:space="preserve">Transformer MVA:  </t>
  </si>
  <si>
    <t>Note: Transformer unit cost; +10% overhead, +30% Contingency, +7.5% AFUDC</t>
  </si>
  <si>
    <t>Tangent structure</t>
  </si>
  <si>
    <t>Voltage class</t>
  </si>
  <si>
    <t>Steel weight (lbs.)</t>
  </si>
  <si>
    <t>Running angle structure</t>
  </si>
  <si>
    <t>Non-angled deadend structure</t>
  </si>
  <si>
    <t>Angled deadend structure</t>
  </si>
  <si>
    <t>Running angle structures</t>
  </si>
  <si>
    <t>Table 2.1: Land Cost per acre</t>
  </si>
  <si>
    <t>Table 2.2-2: AC transmission – steel tower – single circuit</t>
  </si>
  <si>
    <t>Table 2.2-4: AC transmission – steel tower – double circuit</t>
  </si>
  <si>
    <t>Table 2.2-3: AC transmission – steel pole – double circuit</t>
  </si>
  <si>
    <t>Table 2.2-5: AC transmission – wood pole – single circuit</t>
  </si>
  <si>
    <t>Table 2.2-6: AC transmission – wood pole – double circuit</t>
  </si>
  <si>
    <t>Table 2.2-7: HVDC transmission – steel pole – single circuit</t>
  </si>
  <si>
    <t>Table 2.2-8: HVDC transmission – steel tower – single circuit</t>
  </si>
  <si>
    <t>69 kV – 765 kV</t>
  </si>
  <si>
    <t>Table 2.2-9: Additional structure installation costs per acre</t>
  </si>
  <si>
    <t>Forested clearing cost</t>
  </si>
  <si>
    <t>Wetland matting and construction difficulties</t>
  </si>
  <si>
    <t>Mountainous terrain</t>
  </si>
  <si>
    <t>Table 2.2-10: Transmission line removal/retirement ($/mile)</t>
  </si>
  <si>
    <t>Conductor</t>
  </si>
  <si>
    <t xml:space="preserve">266.8 kcmil “Waxwing” </t>
  </si>
  <si>
    <t>266.8 kcmil “Partridge”</t>
  </si>
  <si>
    <t>336.4 kcmil “Merlin”</t>
  </si>
  <si>
    <t>336.4 kcmil “Linnet”</t>
  </si>
  <si>
    <t>336.4 kcmil “Oriole”</t>
  </si>
  <si>
    <t>397.5 kcmil “Chickadee”</t>
  </si>
  <si>
    <t>397.5 kcmil “Ibis”</t>
  </si>
  <si>
    <t>397.5 kcmil “Lark”</t>
  </si>
  <si>
    <t>477 kcmil “Pelican”</t>
  </si>
  <si>
    <t>477 kcmil “Flicker”</t>
  </si>
  <si>
    <t>477 kcmil “Hawk”</t>
  </si>
  <si>
    <t>477 kcmil “Hen”</t>
  </si>
  <si>
    <t>556.5 kcmil “Osprey”</t>
  </si>
  <si>
    <t>556.5 kcmil “Parakeet”</t>
  </si>
  <si>
    <t>556.5 kcmil “Dove”</t>
  </si>
  <si>
    <t>636 kcmil “Kingbird”</t>
  </si>
  <si>
    <t>636 kcmil “Rook”</t>
  </si>
  <si>
    <t>636 kcmil “Grosbeak”</t>
  </si>
  <si>
    <t>666.6 kcmil “Flamingo”</t>
  </si>
  <si>
    <t>795 kcmil “Coot”</t>
  </si>
  <si>
    <t>795 kcmil “Tern”</t>
  </si>
  <si>
    <t>795 kcmil “Cuckoo”</t>
  </si>
  <si>
    <t>795 kcmil “Condor”</t>
  </si>
  <si>
    <t>795 kcmil “Drake”</t>
  </si>
  <si>
    <t>900 kcmil “Canary”</t>
  </si>
  <si>
    <t>954 kcmil “Rail”</t>
  </si>
  <si>
    <t>954 kcmil “Cardinal”</t>
  </si>
  <si>
    <t>1,033.5 kcmil “Ortolan”</t>
  </si>
  <si>
    <t>1,033.5 kcmil “Curlew”</t>
  </si>
  <si>
    <t>1,113 kcmil “Bluejay”</t>
  </si>
  <si>
    <t>1,192.5 kcmil “Bunting”</t>
  </si>
  <si>
    <t>1,272 kcmil “Bittern”</t>
  </si>
  <si>
    <t>1,272 kcmil “Pheasant”</t>
  </si>
  <si>
    <t>1,351.5 kcmil “Dipper”</t>
  </si>
  <si>
    <t>1,351.5 kcmil “Martin”</t>
  </si>
  <si>
    <t>1,431 kcmil “Bobolink”</t>
  </si>
  <si>
    <t>1,590 kcmil “Lapwing”</t>
  </si>
  <si>
    <t>1,590 kcmil “Falcon”</t>
  </si>
  <si>
    <t>1,780 kcmil “Chukar”</t>
  </si>
  <si>
    <t>2,156 kcmil “Bluebird”</t>
  </si>
  <si>
    <t>2,167 kcmil “Kiwi”</t>
  </si>
  <si>
    <t>2,312 kcmil “Thrasher”</t>
  </si>
  <si>
    <t>2,515 kcmil “Joree”</t>
  </si>
  <si>
    <t>2.2-12: Conductor costs (&gt;1,000 kcmil) (per 1,000 feet)</t>
  </si>
  <si>
    <t>Installation cost</t>
  </si>
  <si>
    <t>Accessories cost</t>
  </si>
  <si>
    <t>Material cost</t>
  </si>
  <si>
    <t>Table 2.2-11: Conductor costs (&lt;1,000 kcmil) (per 1,000 feet)</t>
  </si>
  <si>
    <t>ACCC conductor size</t>
  </si>
  <si>
    <t>Comparable  ACSR/ACSS round wire conductor</t>
  </si>
  <si>
    <t>Maximum amperage</t>
  </si>
  <si>
    <t>821 kcmil</t>
  </si>
  <si>
    <t>1,026 kcmil</t>
  </si>
  <si>
    <t>1,011 kcmil</t>
  </si>
  <si>
    <t>1,222 kcmil</t>
  </si>
  <si>
    <t>1,300 kcmil</t>
  </si>
  <si>
    <t>1,582 kcmil</t>
  </si>
  <si>
    <t>2,242 kcmil</t>
  </si>
  <si>
    <t>2,741 kcmil</t>
  </si>
  <si>
    <t>Table 2.2-13: ACCC conductor costs and round wire comparisons (per 1,000 feet)</t>
  </si>
  <si>
    <t>Wire type</t>
  </si>
  <si>
    <t>Table 2.2-14: OPGW and shieldwire costs (per 1,000 feet)</t>
  </si>
  <si>
    <t>Table 2.3-1: Site work unit costs (per acre)</t>
  </si>
  <si>
    <t>Table 2.3-2: Circuit breaker unit costs</t>
  </si>
  <si>
    <t>Foundation cost</t>
  </si>
  <si>
    <t>Table 2.3-3: Disconnect switch (3-phase) unit costs</t>
  </si>
  <si>
    <t>Steel stand weight (pounds)</t>
  </si>
  <si>
    <t>Jumpers, and grounding</t>
  </si>
  <si>
    <t>Steel stand installation cost</t>
  </si>
  <si>
    <t>Steel stand material cost</t>
  </si>
  <si>
    <t>Table 2.3-4: Bus support, bus, and fittings (3-phase) unit costs</t>
  </si>
  <si>
    <t>Table 2.3-5: Voltage transformer (set of 3) unit costs</t>
  </si>
  <si>
    <t>Table 2.3-6: Current transformer (set of 3) unit costs</t>
  </si>
  <si>
    <t xml:space="preserve">Table 2.3-7: Power transformer ($/MVA) </t>
  </si>
  <si>
    <t>Table 2.3-8: Grid supporting devices unit costs</t>
  </si>
  <si>
    <t>Static VAr Compensator ($/MVAr)</t>
  </si>
  <si>
    <t>STATCOM ($/MVAr)</t>
  </si>
  <si>
    <t>Synchronous condenser ($/MVAr)</t>
  </si>
  <si>
    <t>Energy storage</t>
  </si>
  <si>
    <t>(lithium ion)</t>
  </si>
  <si>
    <t>APFC (Advanced Power Flow Control) / SSSC (Static Series Synchronous Condensers)</t>
  </si>
  <si>
    <t>Table 2.3-9: Control enclosure unit costs</t>
  </si>
  <si>
    <t>Material and installation cost</t>
  </si>
  <si>
    <t>Table 2.3-10: Relay panel unit costs</t>
  </si>
  <si>
    <t>Table 2.3-11: Control cable unit costs (per 1,000 feet)</t>
  </si>
  <si>
    <t>Table 2.3-12: Conduit unit costs (per 1,000 feet)</t>
  </si>
  <si>
    <t>Material cost per foot</t>
  </si>
  <si>
    <t>Installation cost per foot</t>
  </si>
  <si>
    <t>Table 2.3-13: Cable trench unit costs (per foot)</t>
  </si>
  <si>
    <t>Table 2.4-1: Converter station line commutated converter (LCC) – one end</t>
  </si>
  <si>
    <t>500 MW</t>
  </si>
  <si>
    <t>1,500 MW</t>
  </si>
  <si>
    <t>2,000 MW</t>
  </si>
  <si>
    <t>2,400 MW</t>
  </si>
  <si>
    <t>3,000 MW</t>
  </si>
  <si>
    <t>167 MVAR</t>
  </si>
  <si>
    <t>500 MVAR</t>
  </si>
  <si>
    <t>667 MVAR</t>
  </si>
  <si>
    <t>800 MVAR</t>
  </si>
  <si>
    <t>1,000 MVAR</t>
  </si>
  <si>
    <t>20 miles</t>
  </si>
  <si>
    <t>AC filters</t>
  </si>
  <si>
    <t>AC Substation</t>
  </si>
  <si>
    <t>Table 2.4-2: Converter station voltage source converter (VSC) – one end</t>
  </si>
  <si>
    <t>Table 3.1-1: Right-of-way width</t>
  </si>
  <si>
    <t>AC Transmission (single and double circuit)</t>
  </si>
  <si>
    <t>Feet</t>
  </si>
  <si>
    <t>HVDC transmission (single circuit)</t>
  </si>
  <si>
    <t>Tangent structures</t>
  </si>
  <si>
    <t>9/9.5</t>
  </si>
  <si>
    <t>8.5/9</t>
  </si>
  <si>
    <t>8/8.5</t>
  </si>
  <si>
    <t>7/7.5</t>
  </si>
  <si>
    <t>4.5/6</t>
  </si>
  <si>
    <t>3.0/N/A</t>
  </si>
  <si>
    <t>3.5/N/A</t>
  </si>
  <si>
    <t>1/N/A</t>
  </si>
  <si>
    <t>0.25/N/A</t>
  </si>
  <si>
    <t>Non-angled deadend structures</t>
  </si>
  <si>
    <t>0.25/0.25</t>
  </si>
  <si>
    <t>0.125/N/A</t>
  </si>
  <si>
    <t>Angled deadend structures</t>
  </si>
  <si>
    <t xml:space="preserve">Table 3.1-2: Structures per mile – AC transmission - steel tower and steel pole (single circuit/double circuit) </t>
  </si>
  <si>
    <t>15.5/18.5</t>
  </si>
  <si>
    <t>13.5/16.5</t>
  </si>
  <si>
    <t>13.5/N/A</t>
  </si>
  <si>
    <t>10.5/N/A</t>
  </si>
  <si>
    <t>7.5/N/A</t>
  </si>
  <si>
    <t>0.5/0.5</t>
  </si>
  <si>
    <t>0.5/N/A</t>
  </si>
  <si>
    <t>Table 3.1-3: Structures per mile – AC transmission - wood pole (single circuit/double circuit)</t>
  </si>
  <si>
    <t>Non-angled structures</t>
  </si>
  <si>
    <t>Angled structures</t>
  </si>
  <si>
    <t>Table 3.1-4: Structures per mile – HVDC transmission - steel tower and steel pole (single circuit)</t>
  </si>
  <si>
    <t>Table 3.1-5: Conductor selection per circuit – AC Transmission</t>
  </si>
  <si>
    <t>Conductor size</t>
  </si>
  <si>
    <t>477 kcmil</t>
  </si>
  <si>
    <t>795 kcmil</t>
  </si>
  <si>
    <t>954 kcmil</t>
  </si>
  <si>
    <t>Conductor type</t>
  </si>
  <si>
    <t>Conductor quantity</t>
  </si>
  <si>
    <t>Amp rating</t>
  </si>
  <si>
    <t>Power rating (MVA)</t>
  </si>
  <si>
    <t>Table 3.1-6: Conductor selection per circuit – HVDC Transmission</t>
  </si>
  <si>
    <t>1,590 kcmil</t>
  </si>
  <si>
    <t>Conductor quantity per pole</t>
  </si>
  <si>
    <t>Power transfer</t>
  </si>
  <si>
    <t>6,000 MW</t>
  </si>
  <si>
    <t>Table 3.1-7: Land and terrain type per state</t>
  </si>
  <si>
    <t xml:space="preserve">Land type </t>
  </si>
  <si>
    <t xml:space="preserve">(pasture, crop, and suburban/urban land </t>
  </si>
  <si>
    <t>sum to 100% per state)</t>
  </si>
  <si>
    <t xml:space="preserve">Terrain type </t>
  </si>
  <si>
    <t>(level ground, forested, and wetland terrain sum to 100% per state)</t>
  </si>
  <si>
    <t>Pasture- land</t>
  </si>
  <si>
    <t>Cropland</t>
  </si>
  <si>
    <t>Suburban/ Urban</t>
  </si>
  <si>
    <t xml:space="preserve">Level ground </t>
  </si>
  <si>
    <t>Table 3.2-1: Initial assumptions – bus ratings</t>
  </si>
  <si>
    <t xml:space="preserve">Scope of work </t>
  </si>
  <si>
    <t>Land required (acre)</t>
  </si>
  <si>
    <t>0.5/0.6/0.7</t>
  </si>
  <si>
    <t>0.5/0.6/0.8</t>
  </si>
  <si>
    <t>0.6/0.7/0.8</t>
  </si>
  <si>
    <t>0.6/0.8/0.9</t>
  </si>
  <si>
    <t>0.8/0.9/1.1</t>
  </si>
  <si>
    <t>1.3/1.6/1.9</t>
  </si>
  <si>
    <t>1.6/2.0/2.3</t>
  </si>
  <si>
    <t>Access road (mile)</t>
  </si>
  <si>
    <t>0/0/0</t>
  </si>
  <si>
    <t>Circuit breakers (each)</t>
  </si>
  <si>
    <t>Disconnect switches (each)</t>
  </si>
  <si>
    <t xml:space="preserve">Voltage transformers </t>
  </si>
  <si>
    <t>(set of 3)</t>
  </si>
  <si>
    <t>Bus support, bus, and fittings (3-phase)</t>
  </si>
  <si>
    <t xml:space="preserve">Deadend structure </t>
  </si>
  <si>
    <t>Relay panel(s)</t>
  </si>
  <si>
    <t>Cable trench (foot),</t>
  </si>
  <si>
    <t xml:space="preserve"> conduit (10 feet), </t>
  </si>
  <si>
    <t>control cable (100 feet)</t>
  </si>
  <si>
    <t>50 /</t>
  </si>
  <si>
    <t>70 /</t>
  </si>
  <si>
    <t>80 /</t>
  </si>
  <si>
    <t>60 /</t>
  </si>
  <si>
    <t>90 /</t>
  </si>
  <si>
    <t>110 /</t>
  </si>
  <si>
    <t>88 /</t>
  </si>
  <si>
    <t>131 /</t>
  </si>
  <si>
    <t>Table 3.2-2: Substation upgrade – add 1 position - (ring/breaker-and-a-half/double-breaker bus)</t>
  </si>
  <si>
    <t>Scope of work</t>
  </si>
  <si>
    <t>0.8/1.0/1.2</t>
  </si>
  <si>
    <t>0.9/1.1/1.4</t>
  </si>
  <si>
    <t>1.0/1.3/1.5</t>
  </si>
  <si>
    <t>1.1/1.4/1.7</t>
  </si>
  <si>
    <t>1.2/1.5/1.8</t>
  </si>
  <si>
    <t>1.5/1.9/2.3</t>
  </si>
  <si>
    <t>2.5/3.1/3.8</t>
  </si>
  <si>
    <t>3.1/3.9/4.7</t>
  </si>
  <si>
    <t>Voltage transformers</t>
  </si>
  <si>
    <t>16/16/20</t>
  </si>
  <si>
    <t>20/20/24</t>
  </si>
  <si>
    <t>conduit (10 feet),</t>
  </si>
  <si>
    <t>135 /</t>
  </si>
  <si>
    <t>95 /</t>
  </si>
  <si>
    <t>143 /</t>
  </si>
  <si>
    <t>100 /</t>
  </si>
  <si>
    <t>150 /</t>
  </si>
  <si>
    <t>105 /</t>
  </si>
  <si>
    <t>158 /</t>
  </si>
  <si>
    <t>165 /</t>
  </si>
  <si>
    <t>120 /</t>
  </si>
  <si>
    <t>180 /</t>
  </si>
  <si>
    <t>140 /</t>
  </si>
  <si>
    <t>210 /</t>
  </si>
  <si>
    <t>175 /</t>
  </si>
  <si>
    <t>263 /</t>
  </si>
  <si>
    <t>Table 3.2-3: Substation upgrade – add 2 positions - (ring/breaker-and-a-half/double-breaker bus)</t>
  </si>
  <si>
    <t>14/16/20</t>
  </si>
  <si>
    <t>20/24/32</t>
  </si>
  <si>
    <t>28/32/48</t>
  </si>
  <si>
    <t>270 /</t>
  </si>
  <si>
    <t>190 /</t>
  </si>
  <si>
    <t>290 /</t>
  </si>
  <si>
    <t>200 /</t>
  </si>
  <si>
    <t>300 /</t>
  </si>
  <si>
    <t>320 /</t>
  </si>
  <si>
    <t>220 /</t>
  </si>
  <si>
    <t>330 /</t>
  </si>
  <si>
    <t>240 /</t>
  </si>
  <si>
    <t>360 /</t>
  </si>
  <si>
    <t>280 /</t>
  </si>
  <si>
    <t>420 /</t>
  </si>
  <si>
    <t>350 /</t>
  </si>
  <si>
    <t>525 /</t>
  </si>
  <si>
    <t>Table 3.2-4: New substation – 4 positions - (ring/breaker-and-a-half/double-breaker bus)</t>
  </si>
  <si>
    <t>Circuit breakers</t>
  </si>
  <si>
    <t>16/20/24</t>
  </si>
  <si>
    <t>24/32/40</t>
  </si>
  <si>
    <t>32/48/60</t>
  </si>
  <si>
    <t>410 /</t>
  </si>
  <si>
    <t>430 /</t>
  </si>
  <si>
    <t>450 /</t>
  </si>
  <si>
    <t>470 /</t>
  </si>
  <si>
    <t>500 /</t>
  </si>
  <si>
    <t>540 /</t>
  </si>
  <si>
    <t>630 /</t>
  </si>
  <si>
    <t>788/</t>
  </si>
  <si>
    <t>Table 3.2-5: New substation – 6 positions - (ring/breaker-and-a-half/double-breaker bus)</t>
  </si>
  <si>
    <t xml:space="preserve">Location </t>
  </si>
  <si>
    <t>Includes contingency (30%) and AFUDC (7.5%)</t>
  </si>
  <si>
    <t>Table 4.1-1: Exploratory cost estimate – AC transmission - new single circuit transmission line $/mile</t>
  </si>
  <si>
    <t>Table 4.1-2: Exploratory cost estimate – AC transmission - new double circuit transmission line $/mile</t>
  </si>
  <si>
    <t>Scope of Work</t>
  </si>
  <si>
    <t>Rebuild – single circuit</t>
  </si>
  <si>
    <t>Rebuild – double circuit</t>
  </si>
  <si>
    <t>Reconductor – per circuit</t>
  </si>
  <si>
    <t>Table 4.1-3: Exploratory cost estimate – AC transmission - rebuild and reconductor transmission line $/mile</t>
  </si>
  <si>
    <t>Location</t>
  </si>
  <si>
    <t>250 kV</t>
  </si>
  <si>
    <t>400 kV</t>
  </si>
  <si>
    <t>600 kV</t>
  </si>
  <si>
    <t>640 kV</t>
  </si>
  <si>
    <t>Table 4.1-4: Exploratory cost estimate – HVDC transmission - new bipole transmission line $/mile</t>
  </si>
  <si>
    <t>Table 4.2-1: Exploratory cost estimate – substation upgrade</t>
  </si>
  <si>
    <t>Add 1 position (ring bus)</t>
  </si>
  <si>
    <t>Add 2 positions(ring bus)</t>
  </si>
  <si>
    <t>Add 1 position
(breaker-and-a-half bus)</t>
  </si>
  <si>
    <t>Add 1 position
(double-breaker bus)</t>
  </si>
  <si>
    <t>Add 2 positions
(breaker-and-a-half bus)</t>
  </si>
  <si>
    <t>Add 2 positions
(double-breaker bus)</t>
  </si>
  <si>
    <t>Table 4.2-2: Exploratory cost estimate – new substation</t>
  </si>
  <si>
    <t>4 positions (ring bus)</t>
  </si>
  <si>
    <t>6 positions (ring bus)</t>
  </si>
  <si>
    <t>4 positions
(breaker-and-a-half bus)</t>
  </si>
  <si>
    <t>4 positions
(double-breaker bus)</t>
  </si>
  <si>
    <t>6 positions
(breaker-and-a-half bus)</t>
  </si>
  <si>
    <t>6 positions
(double-breaker bus)</t>
  </si>
  <si>
    <t>MISO Transmission Cost Estimation Guide - Supplemental Tables</t>
  </si>
  <si>
    <t>MISO Cost Estimation Guide for MTEP25</t>
  </si>
  <si>
    <r>
      <t xml:space="preserve">Exploratory Cost Estimate </t>
    </r>
    <r>
      <rPr>
        <b/>
        <i/>
        <sz val="12"/>
        <color theme="1"/>
        <rFont val="Calibri"/>
        <family val="2"/>
        <scheme val="minor"/>
      </rPr>
      <t>(2025 dollars)</t>
    </r>
  </si>
  <si>
    <t>XX/XX/2025</t>
  </si>
  <si>
    <t>For MTEP25</t>
  </si>
  <si>
    <t>Table 2.2-1: AC transmission - steel pole - single circuit</t>
  </si>
  <si>
    <t>$179,500/MVAr +</t>
  </si>
  <si>
    <t>$179,500/MW ($169.5/kw) (step-up to 69 kV)</t>
  </si>
  <si>
    <t>Battery system: $250,000/MWh ($250/kwh) +</t>
  </si>
  <si>
    <t>Inverter: $75,800/MW ($75.8/kw) +</t>
  </si>
  <si>
    <t>$179,500/MW ($179.5/kw) (step-up to 69 kV)</t>
  </si>
  <si>
    <t>$169,350/MVAr</t>
  </si>
  <si>
    <t>Project Implementation Cost (2025$)</t>
  </si>
  <si>
    <t>If Wisconsin, includes 5% environmental fee</t>
  </si>
  <si>
    <t>2/3/4</t>
  </si>
  <si>
    <t>Shunt capacitor bank ($/MVAr)</t>
  </si>
  <si>
    <t>1/2/2</t>
  </si>
  <si>
    <t>2/4/4</t>
  </si>
  <si>
    <t>4/4/6</t>
  </si>
  <si>
    <t>1/1/1</t>
  </si>
  <si>
    <t>6/6/8</t>
  </si>
  <si>
    <t>8/8/10</t>
  </si>
  <si>
    <t>12/12/14</t>
  </si>
  <si>
    <t>4/6/8</t>
  </si>
  <si>
    <t>2/2/2</t>
  </si>
  <si>
    <t>8/8/12</t>
  </si>
  <si>
    <t>12/12/16</t>
  </si>
  <si>
    <t>8/12/16</t>
  </si>
  <si>
    <t>4/6/6</t>
  </si>
  <si>
    <t>12/14/16</t>
  </si>
  <si>
    <t>4/4/4</t>
  </si>
  <si>
    <t>6/8/10</t>
  </si>
  <si>
    <t>6/9/12</t>
  </si>
  <si>
    <t>12/18/24</t>
  </si>
  <si>
    <t>6/8/8</t>
  </si>
  <si>
    <t>6/6/6</t>
  </si>
  <si>
    <t>8/11/14</t>
  </si>
  <si>
    <t>Shunt reactor ($/MVAr)</t>
  </si>
  <si>
    <t>Cost Estimation Guide / Workbook for MTEP25</t>
  </si>
  <si>
    <t>Table 4.3-1: Exploratory cost estimate – HVDC transmission converter Station (costs are or one of multiple required ends)</t>
  </si>
  <si>
    <t>Single circuit</t>
  </si>
  <si>
    <t>Double circuit</t>
  </si>
  <si>
    <t>3.2/4.0/4.8</t>
  </si>
  <si>
    <t>3.6/4.6/5.4</t>
  </si>
  <si>
    <t>4.0/5.0/6.0</t>
  </si>
  <si>
    <t>4.4/5.6/6.6</t>
  </si>
  <si>
    <t>4.8/6.0/7.2</t>
  </si>
  <si>
    <t>6.0/7.6/9.0</t>
  </si>
  <si>
    <t>10.0/12.6/15.0</t>
  </si>
  <si>
    <t>12.4/15.6/18.8</t>
  </si>
  <si>
    <t>4.6/5.6/6.8</t>
  </si>
  <si>
    <t>5.0/6.2/7.6</t>
  </si>
  <si>
    <t>5.6/6.8/8.2</t>
  </si>
  <si>
    <t>7.6/9.4/11.2</t>
  </si>
  <si>
    <t>12.6/15.6/18.8</t>
  </si>
  <si>
    <t>15.6/19.6/23.4</t>
  </si>
  <si>
    <t>Total Capital Cost</t>
  </si>
  <si>
    <t>MTEP25 Exploratory Line Total Capital Cost includes contingency (30%) and AFUDC (7.5%)</t>
  </si>
  <si>
    <t xml:space="preserve">Total Capital Cost   </t>
  </si>
  <si>
    <t>Transmission Line - 5 year construction - convert present year capital cost to nominal cost</t>
  </si>
  <si>
    <t>Electrical equipment material - (MVAr) size</t>
  </si>
  <si>
    <t>Electrical equipment material - Bus or Transformer secondary voltage</t>
  </si>
  <si>
    <t>ACSS 795 "Drake"</t>
  </si>
  <si>
    <r>
      <rPr>
        <u/>
        <sz val="11"/>
        <color theme="1"/>
        <rFont val="Arial"/>
        <family val="2"/>
      </rPr>
      <t>Line and substation exploratory example tabs</t>
    </r>
    <r>
      <rPr>
        <sz val="11"/>
        <color theme="1"/>
        <rFont val="Arial"/>
        <family val="2"/>
      </rPr>
      <t>: Provides details of example line and substation calculations.</t>
    </r>
  </si>
  <si>
    <r>
      <rPr>
        <u/>
        <sz val="11"/>
        <color theme="1"/>
        <rFont val="Arial"/>
        <family val="2"/>
      </rPr>
      <t>Cost Guide Tables</t>
    </r>
    <r>
      <rPr>
        <sz val="11"/>
        <color theme="1"/>
        <rFont val="Arial"/>
        <family val="2"/>
      </rPr>
      <t>: The tables that are referenced in the Transmission Cost Estimation Guide.</t>
    </r>
  </si>
  <si>
    <t>ArkansasA/CNewSingle</t>
  </si>
  <si>
    <t>IllinoisA/CNewSingle</t>
  </si>
  <si>
    <t>IndianaA/CNewSingle</t>
  </si>
  <si>
    <t>IowaA/CNewSingle</t>
  </si>
  <si>
    <t>KentuckyA/CNewSingle</t>
  </si>
  <si>
    <t>LouisianaA/CNewSingle</t>
  </si>
  <si>
    <t>MichiganA/CNewSingle</t>
  </si>
  <si>
    <t>MinnesotaA/CNewSingle</t>
  </si>
  <si>
    <t>MississippiA/CNewSingle</t>
  </si>
  <si>
    <t>MissouriA/CNewSingle</t>
  </si>
  <si>
    <t>MontanaA/CNewSingle</t>
  </si>
  <si>
    <t>North DakotaA/CNewSingle</t>
  </si>
  <si>
    <t>South DakotaA/CNewSingle</t>
  </si>
  <si>
    <t>TexasA/CNewSingle</t>
  </si>
  <si>
    <t>WisconsinA/CNewSingle</t>
  </si>
  <si>
    <t>ArkansasA/CNewDouble</t>
  </si>
  <si>
    <t>IllinoisA/CNewDouble</t>
  </si>
  <si>
    <t>IndianaA/CNewDouble</t>
  </si>
  <si>
    <t>IowaA/CNewDouble</t>
  </si>
  <si>
    <t>KentuckyA/CNewDouble</t>
  </si>
  <si>
    <t>LouisianaA/CNewDouble</t>
  </si>
  <si>
    <t>MichiganA/CNewDouble</t>
  </si>
  <si>
    <t>MinnesotaA/CNewDouble</t>
  </si>
  <si>
    <t>MississippiA/CNewDouble</t>
  </si>
  <si>
    <t>MissouriA/CNewDouble</t>
  </si>
  <si>
    <t>MontanaA/CNewDouble</t>
  </si>
  <si>
    <t>North DakotaA/CNewDouble</t>
  </si>
  <si>
    <t>South DakotaA/CNewDouble</t>
  </si>
  <si>
    <t>TexasA/CNewDouble</t>
  </si>
  <si>
    <t>WisconsinA/CNewDouble</t>
  </si>
  <si>
    <t>ArkansasA/CRebuildSingle</t>
  </si>
  <si>
    <t>IllinoisA/CRebuildSingle</t>
  </si>
  <si>
    <t>IndianaA/CRebuildSingle</t>
  </si>
  <si>
    <t>IowaA/CRebuildSingle</t>
  </si>
  <si>
    <t>KentuckyA/CRebuildSingle</t>
  </si>
  <si>
    <t>LouisianaA/CRebuildSingle</t>
  </si>
  <si>
    <t>MichiganA/CRebuildSingle</t>
  </si>
  <si>
    <t>MinnesotaA/CRebuildSingle</t>
  </si>
  <si>
    <t>MississippiA/CRebuildSingle</t>
  </si>
  <si>
    <t>MissouriA/CRebuildSingle</t>
  </si>
  <si>
    <t>MontanaA/CRebuildSingle</t>
  </si>
  <si>
    <t>North DakotaA/CRebuildSingle</t>
  </si>
  <si>
    <t>South DakotaA/CRebuildSingle</t>
  </si>
  <si>
    <t>TexasA/CRebuildSingle</t>
  </si>
  <si>
    <t>WisconsinA/CRebuildSingle</t>
  </si>
  <si>
    <t>ArkansasA/CRebuildDouble</t>
  </si>
  <si>
    <t>IllinoisA/CRebuildDouble</t>
  </si>
  <si>
    <t>IndianaA/CRebuildDouble</t>
  </si>
  <si>
    <t>IowaA/CRebuildDouble</t>
  </si>
  <si>
    <t>KentuckyA/CRebuildDouble</t>
  </si>
  <si>
    <t>LouisianaA/CRebuildDouble</t>
  </si>
  <si>
    <t>MichiganA/CRebuildDouble</t>
  </si>
  <si>
    <t>MinnesotaA/CRebuildDouble</t>
  </si>
  <si>
    <t>MississippiA/CRebuildDouble</t>
  </si>
  <si>
    <t>MissouriA/CRebuildDouble</t>
  </si>
  <si>
    <t>MontanaA/CRebuildDouble</t>
  </si>
  <si>
    <t>North DakotaA/CRebuildDouble</t>
  </si>
  <si>
    <t>South DakotaA/CRebuildDouble</t>
  </si>
  <si>
    <t>TexasA/CRebuildDouble</t>
  </si>
  <si>
    <t>WisconsinA/CRebuildDouble</t>
  </si>
  <si>
    <t>ArkansasA/CReconductorSingle</t>
  </si>
  <si>
    <t>IllinoisA/CReconductorSingle</t>
  </si>
  <si>
    <t>IndianaA/CReconductorSingle</t>
  </si>
  <si>
    <t>IowaA/CReconductorSingle</t>
  </si>
  <si>
    <t>KentuckyA/CReconductorSingle</t>
  </si>
  <si>
    <t>LouisianaA/CReconductorSingle</t>
  </si>
  <si>
    <t>MichiganA/CReconductorSingle</t>
  </si>
  <si>
    <t>MinnesotaA/CReconductorSingle</t>
  </si>
  <si>
    <t>MississippiA/CReconductorSingle</t>
  </si>
  <si>
    <t>MissouriA/CReconductorSingle</t>
  </si>
  <si>
    <t>MontanaA/CReconductorSingle</t>
  </si>
  <si>
    <t>North DakotaA/CReconductorSingle</t>
  </si>
  <si>
    <t>South DakotaA/CReconductorSingle</t>
  </si>
  <si>
    <t>TexasA/CReconductorSingle</t>
  </si>
  <si>
    <t>WisconsinA/CReconductorSingle</t>
  </si>
  <si>
    <t>ArkansasHVDCNewSingle</t>
  </si>
  <si>
    <t>IllinoisHVDCNewSingle</t>
  </si>
  <si>
    <t>IndianaHVDCNewSingle</t>
  </si>
  <si>
    <t>IowaHVDCNewSingle</t>
  </si>
  <si>
    <t>KentuckyHVDCNewSingle</t>
  </si>
  <si>
    <t>LouisianaHVDCNewSingle</t>
  </si>
  <si>
    <t>MichiganHVDCNewSingle</t>
  </si>
  <si>
    <t>MinnesotaHVDCNewSingle</t>
  </si>
  <si>
    <t>MississippiHVDCNewSingle</t>
  </si>
  <si>
    <t>MissouriHVDCNewSingle</t>
  </si>
  <si>
    <t>MontanaHVDCNewSingle</t>
  </si>
  <si>
    <t>North DakotaHVDCNewSingle</t>
  </si>
  <si>
    <t>South DakotaHVDCNewSingle</t>
  </si>
  <si>
    <t>TexasHVDCNewSingle</t>
  </si>
  <si>
    <t>WisconsinHVDCNewSingle</t>
  </si>
  <si>
    <t>Substation foundations</t>
  </si>
  <si>
    <t>Expense Factor and Return Factor (by State)</t>
  </si>
  <si>
    <r>
      <t xml:space="preserve">For more information and background on MISO's cost estimation approach, see MISO's Cost Estimation Guide for MTEP25 posted on MISO's website: </t>
    </r>
    <r>
      <rPr>
        <u/>
        <sz val="11"/>
        <rFont val="Arial"/>
        <family val="2"/>
      </rPr>
      <t>http://www.misoenergy.org/planning/transmissionplanning</t>
    </r>
  </si>
  <si>
    <t>Market uncertainty cost adder %</t>
  </si>
  <si>
    <t xml:space="preserve"> Market uncertainty cost adder %</t>
  </si>
  <si>
    <t>Add Transformer (breakers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</si>
</sst>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0.000"/>
    <numFmt numFmtId="167" formatCode="0_);\(0\)"/>
    <numFmt numFmtId="168" formatCode="&quot;$&quot;#,##0"/>
    <numFmt numFmtId="169" formatCode="_(&quot;$&quot;* #,##0_);_(&quot;$&quot;* \(#,##0\);_(&quot;$&quot;* &quot;-&quot;??_);_(@_)"/>
    <numFmt numFmtId="170" formatCode="_(* #,##0.0_);_(* \(#,##0.0\);_(* &quot;-&quot;??_);_(@_)"/>
    <numFmt numFmtId="171" formatCode="&quot;$&quot;#.0&quot;M&quot;"/>
    <numFmt numFmtId="172" formatCode="&quot;$&quot;#.00&quot;M&quot;"/>
    <numFmt numFmtId="173" formatCode="#\ &quot;MVA&quot;"/>
    <numFmt numFmtId="174" formatCode="&quot;$&quot;#,##0.00"/>
    <numFmt numFmtId="175" formatCode="&quot;$&quot;#&quot;M&quot;"/>
    <numFmt numFmtId="176" formatCode="0.0"/>
  </numFmts>
  <fonts count="27" x14ac:knownFonts="1">
    <font>
      <sz val="11"/>
      <color theme="1"/>
      <name val="Calibri"/>
      <family val="2"/>
      <scheme val="minor"/>
    </font>
    <font>
      <sz val="9"/>
      <color theme="1"/>
      <name val="Arial"/>
      <family val="2"/>
    </font>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b/>
      <sz val="11"/>
      <color theme="1"/>
      <name val="Calibri"/>
      <family val="2"/>
      <scheme val="minor"/>
    </font>
    <font>
      <b/>
      <sz val="12"/>
      <color theme="1"/>
      <name val="Calibri"/>
      <family val="2"/>
      <scheme val="minor"/>
    </font>
    <font>
      <b/>
      <sz val="10"/>
      <color theme="0"/>
      <name val="Arial"/>
      <family val="2"/>
    </font>
    <font>
      <b/>
      <i/>
      <sz val="12"/>
      <color theme="1"/>
      <name val="Calibri"/>
      <family val="2"/>
      <scheme val="minor"/>
    </font>
    <font>
      <sz val="11"/>
      <name val="Calibri"/>
      <family val="2"/>
      <scheme val="minor"/>
    </font>
    <font>
      <b/>
      <sz val="14"/>
      <color theme="1"/>
      <name val="Arial"/>
      <family val="2"/>
    </font>
    <font>
      <sz val="11"/>
      <color theme="1"/>
      <name val="Arial"/>
      <family val="2"/>
    </font>
    <font>
      <u/>
      <sz val="11"/>
      <color theme="1"/>
      <name val="Arial"/>
      <family val="2"/>
    </font>
    <font>
      <sz val="11"/>
      <name val="Arial"/>
      <family val="2"/>
    </font>
    <font>
      <u/>
      <sz val="11"/>
      <name val="Arial"/>
      <family val="2"/>
    </font>
    <font>
      <b/>
      <sz val="12"/>
      <color rgb="FF000000"/>
      <name val="Lato"/>
      <family val="2"/>
    </font>
    <font>
      <b/>
      <sz val="11"/>
      <color rgb="FF000000"/>
      <name val="Lato"/>
      <family val="2"/>
    </font>
    <font>
      <b/>
      <sz val="10"/>
      <color rgb="FF000000"/>
      <name val="Lato"/>
      <family val="2"/>
    </font>
    <font>
      <sz val="10"/>
      <color rgb="FF000000"/>
      <name val="Lato"/>
      <family val="2"/>
    </font>
    <font>
      <sz val="10"/>
      <color theme="1"/>
      <name val="Lato"/>
      <family val="2"/>
    </font>
    <font>
      <b/>
      <sz val="10"/>
      <color theme="1"/>
      <name val="Lato"/>
      <family val="2"/>
    </font>
    <font>
      <b/>
      <sz val="12"/>
      <color theme="1"/>
      <name val="Lato"/>
      <family val="2"/>
    </font>
    <font>
      <sz val="10"/>
      <color rgb="FF006197"/>
      <name val="Lato"/>
      <family val="2"/>
    </font>
    <font>
      <b/>
      <sz val="9"/>
      <color rgb="FF000000"/>
      <name val="Lato"/>
      <family val="2"/>
    </font>
    <font>
      <sz val="11"/>
      <color theme="3"/>
      <name val="Calibri"/>
      <family val="2"/>
      <scheme val="minor"/>
    </font>
  </fonts>
  <fills count="19">
    <fill>
      <patternFill patternType="none"/>
    </fill>
    <fill>
      <patternFill patternType="gray125"/>
    </fill>
    <fill>
      <patternFill patternType="solid">
        <fgColor rgb="FFB6DCE1"/>
        <bgColor indexed="64"/>
      </patternFill>
    </fill>
    <fill>
      <patternFill patternType="solid">
        <fgColor rgb="FF54C0E8"/>
        <bgColor indexed="64"/>
      </patternFill>
    </fill>
    <fill>
      <patternFill patternType="solid">
        <fgColor rgb="FF80BC00"/>
        <bgColor indexed="64"/>
      </patternFill>
    </fill>
    <fill>
      <patternFill patternType="solid">
        <fgColor theme="8"/>
        <bgColor indexed="64"/>
      </patternFill>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rgb="FFD9D8D6"/>
        <bgColor indexed="64"/>
      </patternFill>
    </fill>
    <fill>
      <patternFill patternType="solid">
        <fgColor theme="6"/>
        <bgColor indexed="64"/>
      </patternFill>
    </fill>
    <fill>
      <patternFill patternType="solid">
        <fgColor rgb="FF487629"/>
        <bgColor indexed="64"/>
      </patternFill>
    </fill>
    <fill>
      <patternFill patternType="solid">
        <fgColor theme="3"/>
        <bgColor indexed="64"/>
      </patternFill>
    </fill>
    <fill>
      <patternFill patternType="solid">
        <fgColor theme="0"/>
        <bgColor indexed="64"/>
      </patternFill>
    </fill>
    <fill>
      <patternFill patternType="solid">
        <fgColor rgb="FFA5D07A"/>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7"/>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top style="double">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368">
    <xf numFmtId="0" fontId="0" fillId="0" borderId="0" xfId="0"/>
    <xf numFmtId="43" fontId="3" fillId="0" borderId="0" xfId="1" applyFont="1"/>
    <xf numFmtId="0" fontId="4" fillId="0" borderId="0" xfId="0" applyFont="1"/>
    <xf numFmtId="0" fontId="5" fillId="0" borderId="0" xfId="0" applyFont="1" applyAlignment="1">
      <alignment horizontal="center"/>
    </xf>
    <xf numFmtId="43" fontId="4" fillId="0" borderId="0" xfId="1" applyFont="1"/>
    <xf numFmtId="10" fontId="4" fillId="2" borderId="1" xfId="2" applyNumberFormat="1" applyFont="1" applyFill="1" applyBorder="1"/>
    <xf numFmtId="0" fontId="4" fillId="0" borderId="1" xfId="0" applyFont="1" applyBorder="1" applyAlignment="1">
      <alignment horizontal="center"/>
    </xf>
    <xf numFmtId="9" fontId="4" fillId="2" borderId="1" xfId="2" applyFont="1" applyFill="1" applyBorder="1"/>
    <xf numFmtId="164" fontId="4" fillId="0" borderId="0" xfId="2" applyNumberFormat="1" applyFont="1" applyAlignment="1">
      <alignment vertical="center"/>
    </xf>
    <xf numFmtId="165" fontId="4" fillId="0" borderId="0" xfId="1" applyNumberFormat="1" applyFont="1"/>
    <xf numFmtId="43" fontId="4" fillId="0" borderId="0" xfId="1" applyFont="1" applyAlignment="1">
      <alignment horizontal="left" wrapText="1"/>
    </xf>
    <xf numFmtId="9" fontId="4" fillId="0" borderId="0" xfId="2" applyFont="1"/>
    <xf numFmtId="0" fontId="6" fillId="0" borderId="0" xfId="0" applyFont="1" applyAlignment="1">
      <alignment horizontal="center"/>
    </xf>
    <xf numFmtId="166" fontId="4" fillId="0" borderId="0" xfId="0" applyNumberFormat="1" applyFont="1"/>
    <xf numFmtId="10" fontId="4" fillId="0" borderId="0" xfId="0" applyNumberFormat="1" applyFont="1"/>
    <xf numFmtId="10" fontId="4" fillId="0" borderId="0" xfId="2" applyNumberFormat="1" applyFont="1"/>
    <xf numFmtId="10" fontId="4" fillId="2" borderId="1" xfId="2" applyNumberFormat="1" applyFont="1" applyFill="1" applyBorder="1" applyAlignment="1">
      <alignment horizontal="center"/>
    </xf>
    <xf numFmtId="43" fontId="4" fillId="0" borderId="0" xfId="0" applyNumberFormat="1" applyFont="1" applyAlignment="1">
      <alignment horizontal="center"/>
    </xf>
    <xf numFmtId="167" fontId="4" fillId="0" borderId="0" xfId="0" applyNumberFormat="1" applyFont="1" applyAlignment="1">
      <alignment horizontal="right"/>
    </xf>
    <xf numFmtId="10" fontId="4" fillId="0" borderId="0" xfId="0" applyNumberFormat="1" applyFont="1" applyAlignment="1">
      <alignment horizontal="center"/>
    </xf>
    <xf numFmtId="10" fontId="4" fillId="0" borderId="0" xfId="2" applyNumberFormat="1" applyFont="1" applyAlignment="1">
      <alignment horizontal="center"/>
    </xf>
    <xf numFmtId="0" fontId="5"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8" fontId="4" fillId="0" borderId="0" xfId="1" applyNumberFormat="1" applyFont="1"/>
    <xf numFmtId="168" fontId="3" fillId="0" borderId="4" xfId="0" applyNumberFormat="1" applyFont="1" applyBorder="1" applyAlignment="1">
      <alignment horizontal="right"/>
    </xf>
    <xf numFmtId="168" fontId="4" fillId="2" borderId="1" xfId="1" applyNumberFormat="1" applyFont="1" applyFill="1" applyBorder="1"/>
    <xf numFmtId="168" fontId="4" fillId="0" borderId="2" xfId="1" applyNumberFormat="1" applyFont="1" applyBorder="1"/>
    <xf numFmtId="169" fontId="4" fillId="0" borderId="2" xfId="1" applyNumberFormat="1" applyFont="1" applyBorder="1"/>
    <xf numFmtId="168" fontId="4" fillId="0" borderId="0" xfId="0" applyNumberFormat="1" applyFont="1"/>
    <xf numFmtId="10" fontId="4" fillId="0" borderId="0" xfId="2" applyNumberFormat="1" applyFont="1" applyBorder="1" applyAlignment="1">
      <alignment horizontal="center"/>
    </xf>
    <xf numFmtId="0" fontId="4" fillId="0" borderId="0" xfId="0" applyFont="1" applyAlignment="1">
      <alignment horizontal="center"/>
    </xf>
    <xf numFmtId="1" fontId="4" fillId="0" borderId="0" xfId="1" applyNumberFormat="1" applyFont="1" applyFill="1" applyBorder="1" applyAlignment="1">
      <alignment horizontal="center"/>
    </xf>
    <xf numFmtId="0" fontId="4" fillId="0" borderId="0" xfId="0" applyFont="1" applyAlignment="1">
      <alignment horizontal="right" vertical="center"/>
    </xf>
    <xf numFmtId="43" fontId="4" fillId="0" borderId="0" xfId="0" applyNumberFormat="1" applyFont="1" applyAlignment="1">
      <alignment horizontal="center" wrapText="1"/>
    </xf>
    <xf numFmtId="0" fontId="4" fillId="0" borderId="1" xfId="0" applyFont="1" applyBorder="1" applyAlignment="1">
      <alignment horizontal="right"/>
    </xf>
    <xf numFmtId="164" fontId="4" fillId="0" borderId="0" xfId="2" applyNumberFormat="1" applyFont="1"/>
    <xf numFmtId="0" fontId="4" fillId="0" borderId="1" xfId="0" applyFont="1" applyBorder="1" applyAlignment="1">
      <alignment horizontal="right" vertical="center"/>
    </xf>
    <xf numFmtId="0" fontId="3" fillId="0" borderId="0" xfId="0" applyFont="1" applyAlignment="1">
      <alignment horizontal="center"/>
    </xf>
    <xf numFmtId="0" fontId="4" fillId="0" borderId="0" xfId="0" applyFont="1" applyAlignment="1">
      <alignment wrapText="1"/>
    </xf>
    <xf numFmtId="0" fontId="4" fillId="0" borderId="0" xfId="0" applyFont="1" applyAlignment="1">
      <alignment horizontal="left" vertical="center"/>
    </xf>
    <xf numFmtId="170" fontId="4" fillId="0" borderId="0" xfId="1" applyNumberFormat="1" applyFont="1"/>
    <xf numFmtId="169" fontId="4" fillId="0" borderId="0" xfId="3" applyNumberFormat="1" applyFont="1"/>
    <xf numFmtId="0" fontId="3" fillId="5" borderId="5" xfId="0" applyFont="1" applyFill="1" applyBorder="1" applyAlignment="1">
      <alignment horizontal="center"/>
    </xf>
    <xf numFmtId="0" fontId="3" fillId="0" borderId="1" xfId="0" applyFont="1" applyBorder="1" applyAlignment="1">
      <alignment horizontal="center"/>
    </xf>
    <xf numFmtId="0" fontId="3" fillId="6" borderId="5" xfId="0" applyFont="1" applyFill="1" applyBorder="1" applyAlignment="1">
      <alignment horizontal="center"/>
    </xf>
    <xf numFmtId="0" fontId="4" fillId="0" borderId="0" xfId="0" applyFont="1" applyAlignment="1">
      <alignment horizontal="right"/>
    </xf>
    <xf numFmtId="0" fontId="4" fillId="2" borderId="1" xfId="0" applyFont="1" applyFill="1" applyBorder="1" applyAlignment="1">
      <alignment horizontal="center"/>
    </xf>
    <xf numFmtId="0" fontId="4" fillId="0" borderId="7" xfId="0" applyFont="1" applyBorder="1" applyAlignment="1">
      <alignment horizontal="right"/>
    </xf>
    <xf numFmtId="0" fontId="4" fillId="0" borderId="7" xfId="0" applyFont="1" applyBorder="1" applyAlignment="1">
      <alignment horizontal="right" vertical="center"/>
    </xf>
    <xf numFmtId="0" fontId="4" fillId="0" borderId="9" xfId="0" applyFont="1" applyBorder="1" applyAlignment="1">
      <alignment horizontal="right"/>
    </xf>
    <xf numFmtId="0" fontId="4" fillId="0" borderId="9" xfId="0" applyFont="1" applyBorder="1"/>
    <xf numFmtId="43" fontId="4" fillId="0" borderId="0" xfId="1" quotePrefix="1" applyFont="1"/>
    <xf numFmtId="165" fontId="4" fillId="0" borderId="0" xfId="1" quotePrefix="1" applyNumberFormat="1" applyFont="1"/>
    <xf numFmtId="0" fontId="4" fillId="7" borderId="0" xfId="0" applyFont="1" applyFill="1"/>
    <xf numFmtId="44" fontId="4" fillId="0" borderId="0" xfId="3" applyFont="1"/>
    <xf numFmtId="0" fontId="3" fillId="0" borderId="6" xfId="0" applyFont="1" applyBorder="1" applyAlignment="1">
      <alignment horizontal="center"/>
    </xf>
    <xf numFmtId="169" fontId="4" fillId="0" borderId="0" xfId="0" applyNumberFormat="1" applyFont="1"/>
    <xf numFmtId="165" fontId="4" fillId="0" borderId="0" xfId="1" applyNumberFormat="1" applyFont="1" applyFill="1" applyBorder="1"/>
    <xf numFmtId="0" fontId="3" fillId="8" borderId="10" xfId="0" applyFont="1" applyFill="1" applyBorder="1" applyAlignment="1">
      <alignment horizontal="left" vertical="center"/>
    </xf>
    <xf numFmtId="0" fontId="4" fillId="8" borderId="0" xfId="0" applyFont="1" applyFill="1"/>
    <xf numFmtId="0" fontId="4" fillId="8" borderId="0" xfId="0" applyFont="1" applyFill="1" applyAlignment="1">
      <alignment horizontal="right"/>
    </xf>
    <xf numFmtId="165" fontId="4" fillId="0" borderId="0" xfId="0" applyNumberFormat="1" applyFont="1" applyAlignment="1">
      <alignment horizontal="right"/>
    </xf>
    <xf numFmtId="0" fontId="3" fillId="9" borderId="10" xfId="0" applyFont="1" applyFill="1" applyBorder="1" applyAlignment="1">
      <alignment horizontal="center"/>
    </xf>
    <xf numFmtId="44" fontId="4" fillId="9" borderId="1" xfId="3" applyFont="1" applyFill="1" applyBorder="1"/>
    <xf numFmtId="0" fontId="3" fillId="0" borderId="0" xfId="0" applyFont="1" applyAlignment="1">
      <alignment horizontal="right"/>
    </xf>
    <xf numFmtId="169" fontId="3" fillId="0" borderId="2" xfId="3" applyNumberFormat="1" applyFont="1" applyBorder="1"/>
    <xf numFmtId="0" fontId="3" fillId="8" borderId="11" xfId="0" applyFont="1" applyFill="1" applyBorder="1" applyAlignment="1">
      <alignment horizontal="left" vertical="center"/>
    </xf>
    <xf numFmtId="0" fontId="3" fillId="10" borderId="5" xfId="0" applyFont="1" applyFill="1" applyBorder="1" applyAlignment="1">
      <alignment horizontal="center"/>
    </xf>
    <xf numFmtId="171" fontId="4" fillId="0" borderId="1" xfId="0" applyNumberFormat="1" applyFont="1" applyBorder="1" applyAlignment="1">
      <alignment horizontal="center"/>
    </xf>
    <xf numFmtId="0" fontId="4" fillId="0" borderId="0" xfId="0" applyFont="1" applyAlignment="1">
      <alignment horizontal="left"/>
    </xf>
    <xf numFmtId="49" fontId="4" fillId="0" borderId="0" xfId="0" applyNumberFormat="1" applyFont="1"/>
    <xf numFmtId="0" fontId="4" fillId="0" borderId="11" xfId="0" applyFont="1" applyBorder="1" applyAlignment="1">
      <alignment horizontal="left"/>
    </xf>
    <xf numFmtId="0" fontId="0" fillId="0" borderId="0" xfId="0" applyAlignment="1">
      <alignment horizontal="right"/>
    </xf>
    <xf numFmtId="0" fontId="4" fillId="2" borderId="12" xfId="0" applyFont="1" applyFill="1" applyBorder="1" applyAlignment="1">
      <alignment horizontal="center"/>
    </xf>
    <xf numFmtId="171" fontId="3" fillId="0" borderId="1" xfId="0" applyNumberFormat="1" applyFont="1" applyBorder="1" applyAlignment="1">
      <alignment horizontal="center"/>
    </xf>
    <xf numFmtId="0" fontId="0" fillId="0" borderId="0" xfId="0" applyAlignment="1">
      <alignment horizontal="center"/>
    </xf>
    <xf numFmtId="0" fontId="7" fillId="0" borderId="0" xfId="0" applyFont="1"/>
    <xf numFmtId="0" fontId="7" fillId="0" borderId="1" xfId="0" applyFont="1" applyBorder="1" applyAlignment="1">
      <alignment horizontal="right"/>
    </xf>
    <xf numFmtId="171" fontId="0" fillId="0" borderId="0" xfId="0" applyNumberFormat="1"/>
    <xf numFmtId="171" fontId="3" fillId="0" borderId="0" xfId="0" applyNumberFormat="1" applyFont="1" applyAlignment="1">
      <alignment horizontal="center"/>
    </xf>
    <xf numFmtId="171" fontId="4" fillId="0" borderId="0" xfId="0" applyNumberFormat="1" applyFont="1" applyAlignment="1">
      <alignment horizontal="center"/>
    </xf>
    <xf numFmtId="171" fontId="4" fillId="0" borderId="2" xfId="0" applyNumberFormat="1" applyFont="1" applyBorder="1" applyAlignment="1">
      <alignment horizontal="center"/>
    </xf>
    <xf numFmtId="43" fontId="4" fillId="0" borderId="0" xfId="1" applyFont="1" applyAlignment="1">
      <alignment horizontal="right"/>
    </xf>
    <xf numFmtId="0" fontId="0" fillId="9" borderId="8" xfId="0" applyFill="1" applyBorder="1" applyAlignment="1">
      <alignment horizontal="left"/>
    </xf>
    <xf numFmtId="0" fontId="4" fillId="9" borderId="13" xfId="0" applyFont="1" applyFill="1" applyBorder="1" applyAlignment="1">
      <alignment horizontal="left"/>
    </xf>
    <xf numFmtId="5" fontId="4" fillId="0" borderId="0" xfId="0" applyNumberFormat="1" applyFont="1" applyAlignment="1">
      <alignment horizontal="center"/>
    </xf>
    <xf numFmtId="5" fontId="4" fillId="0" borderId="2" xfId="0" applyNumberFormat="1" applyFont="1" applyBorder="1" applyAlignment="1">
      <alignment horizontal="center"/>
    </xf>
    <xf numFmtId="0" fontId="0" fillId="11" borderId="0" xfId="0" applyFill="1"/>
    <xf numFmtId="0" fontId="9" fillId="11" borderId="5" xfId="0" applyFont="1" applyFill="1" applyBorder="1" applyAlignment="1">
      <alignment horizontal="center"/>
    </xf>
    <xf numFmtId="169" fontId="4" fillId="0" borderId="0" xfId="3" quotePrefix="1" applyNumberFormat="1" applyFont="1"/>
    <xf numFmtId="0" fontId="4" fillId="0" borderId="3" xfId="0" applyFont="1" applyBorder="1"/>
    <xf numFmtId="0" fontId="0" fillId="0" borderId="0" xfId="0" applyAlignment="1">
      <alignment horizontal="left"/>
    </xf>
    <xf numFmtId="164" fontId="0" fillId="0" borderId="0" xfId="2" applyNumberFormat="1" applyFont="1" applyAlignment="1">
      <alignment horizontal="left"/>
    </xf>
    <xf numFmtId="173" fontId="4" fillId="2" borderId="1" xfId="0" applyNumberFormat="1" applyFont="1" applyFill="1" applyBorder="1" applyAlignment="1">
      <alignment horizontal="center"/>
    </xf>
    <xf numFmtId="171" fontId="3" fillId="0" borderId="5" xfId="0" quotePrefix="1" applyNumberFormat="1" applyFont="1" applyBorder="1" applyAlignment="1">
      <alignment horizontal="center" wrapText="1"/>
    </xf>
    <xf numFmtId="5" fontId="4" fillId="0" borderId="1" xfId="0" applyNumberFormat="1" applyFont="1" applyBorder="1" applyAlignment="1">
      <alignment horizontal="center"/>
    </xf>
    <xf numFmtId="5" fontId="4" fillId="2" borderId="1" xfId="0" applyNumberFormat="1" applyFont="1" applyFill="1" applyBorder="1" applyAlignment="1">
      <alignment horizontal="center"/>
    </xf>
    <xf numFmtId="43" fontId="0" fillId="0" borderId="0" xfId="1" applyFont="1" applyBorder="1" applyAlignment="1">
      <alignment horizontal="right"/>
    </xf>
    <xf numFmtId="165" fontId="4" fillId="0" borderId="0" xfId="1" applyNumberFormat="1" applyFont="1" applyAlignment="1">
      <alignment horizontal="right"/>
    </xf>
    <xf numFmtId="0" fontId="3" fillId="8" borderId="0" xfId="0" applyFont="1" applyFill="1" applyAlignment="1">
      <alignment horizontal="left" vertical="center"/>
    </xf>
    <xf numFmtId="0" fontId="4" fillId="0" borderId="0" xfId="0" applyFont="1" applyAlignment="1">
      <alignment horizontal="left" vertical="center" wrapText="1"/>
    </xf>
    <xf numFmtId="165" fontId="4" fillId="0" borderId="0" xfId="1" applyNumberFormat="1" applyFont="1" applyBorder="1"/>
    <xf numFmtId="165" fontId="4" fillId="0" borderId="3" xfId="1" applyNumberFormat="1" applyFont="1" applyBorder="1"/>
    <xf numFmtId="164" fontId="4" fillId="9" borderId="0" xfId="2" applyNumberFormat="1" applyFont="1" applyFill="1" applyBorder="1" applyAlignment="1">
      <alignment horizontal="center" vertical="center" wrapText="1"/>
    </xf>
    <xf numFmtId="164" fontId="4" fillId="9" borderId="10" xfId="2" applyNumberFormat="1" applyFont="1" applyFill="1" applyBorder="1" applyAlignment="1">
      <alignment horizontal="center" vertical="center" wrapText="1"/>
    </xf>
    <xf numFmtId="0" fontId="4" fillId="9" borderId="17" xfId="0" applyFont="1" applyFill="1" applyBorder="1" applyAlignment="1">
      <alignment horizontal="left" vertical="center" wrapText="1"/>
    </xf>
    <xf numFmtId="0" fontId="4" fillId="9" borderId="12" xfId="0" applyFont="1" applyFill="1" applyBorder="1" applyAlignment="1">
      <alignment horizontal="left" vertical="center" wrapText="1"/>
    </xf>
    <xf numFmtId="169" fontId="4" fillId="0" borderId="0" xfId="3" applyNumberFormat="1" applyFont="1" applyBorder="1"/>
    <xf numFmtId="43" fontId="4" fillId="0" borderId="3" xfId="1" applyFont="1" applyBorder="1" applyAlignment="1">
      <alignment horizontal="right"/>
    </xf>
    <xf numFmtId="169" fontId="4" fillId="0" borderId="3" xfId="3" applyNumberFormat="1" applyFont="1" applyBorder="1" applyAlignment="1"/>
    <xf numFmtId="169" fontId="4" fillId="0" borderId="0" xfId="3" applyNumberFormat="1" applyFont="1" applyAlignment="1"/>
    <xf numFmtId="165" fontId="6" fillId="0" borderId="0" xfId="1" applyNumberFormat="1" applyFont="1"/>
    <xf numFmtId="43" fontId="4" fillId="0" borderId="0" xfId="1" applyFont="1" applyBorder="1" applyAlignment="1">
      <alignment horizontal="right"/>
    </xf>
    <xf numFmtId="164" fontId="4" fillId="9" borderId="0" xfId="2" applyNumberFormat="1" applyFont="1" applyFill="1" applyAlignment="1">
      <alignment horizontal="right"/>
    </xf>
    <xf numFmtId="170" fontId="4" fillId="9" borderId="3" xfId="0" applyNumberFormat="1" applyFont="1" applyFill="1" applyBorder="1" applyAlignment="1">
      <alignment horizontal="right"/>
    </xf>
    <xf numFmtId="165" fontId="4" fillId="9" borderId="0" xfId="1" applyNumberFormat="1" applyFont="1" applyFill="1" applyAlignment="1">
      <alignment horizontal="right"/>
    </xf>
    <xf numFmtId="169" fontId="3" fillId="0" borderId="2" xfId="3" applyNumberFormat="1" applyFont="1" applyBorder="1" applyAlignment="1">
      <alignment horizontal="right"/>
    </xf>
    <xf numFmtId="169" fontId="3" fillId="0" borderId="2" xfId="3" applyNumberFormat="1" applyFont="1" applyFill="1" applyBorder="1" applyAlignment="1">
      <alignment horizontal="right"/>
    </xf>
    <xf numFmtId="43" fontId="4" fillId="0" borderId="0" xfId="0" applyNumberFormat="1" applyFont="1"/>
    <xf numFmtId="171" fontId="4" fillId="0" borderId="0" xfId="0" applyNumberFormat="1" applyFont="1"/>
    <xf numFmtId="0" fontId="4" fillId="2" borderId="1" xfId="0" applyFont="1" applyFill="1" applyBorder="1" applyAlignment="1">
      <alignment horizontal="center" wrapText="1"/>
    </xf>
    <xf numFmtId="165" fontId="4" fillId="0" borderId="0" xfId="1" applyNumberFormat="1" applyFont="1" applyFill="1" applyBorder="1" applyAlignment="1">
      <alignment horizontal="center"/>
    </xf>
    <xf numFmtId="43" fontId="4" fillId="0" borderId="7" xfId="1" applyFont="1" applyFill="1" applyBorder="1" applyAlignment="1">
      <alignment horizontal="right" vertical="center"/>
    </xf>
    <xf numFmtId="165" fontId="4" fillId="0" borderId="0" xfId="1" applyNumberFormat="1" applyFont="1" applyFill="1"/>
    <xf numFmtId="0" fontId="3" fillId="8" borderId="0" xfId="0" applyFont="1" applyFill="1" applyAlignment="1">
      <alignment wrapText="1"/>
    </xf>
    <xf numFmtId="165" fontId="3" fillId="0" borderId="1" xfId="1" applyNumberFormat="1" applyFont="1" applyBorder="1" applyAlignment="1">
      <alignment horizontal="center"/>
    </xf>
    <xf numFmtId="43" fontId="4" fillId="0" borderId="7" xfId="1" applyFont="1" applyFill="1" applyBorder="1" applyAlignment="1">
      <alignment horizontal="right"/>
    </xf>
    <xf numFmtId="165" fontId="4" fillId="0" borderId="0" xfId="1" quotePrefix="1" applyNumberFormat="1" applyFont="1" applyFill="1" applyBorder="1" applyAlignment="1">
      <alignment horizontal="center"/>
    </xf>
    <xf numFmtId="0" fontId="4" fillId="9" borderId="10" xfId="0" applyFont="1" applyFill="1" applyBorder="1" applyAlignment="1">
      <alignment wrapText="1"/>
    </xf>
    <xf numFmtId="0" fontId="4" fillId="9" borderId="17" xfId="0" applyFont="1" applyFill="1" applyBorder="1" applyAlignment="1">
      <alignment wrapText="1"/>
    </xf>
    <xf numFmtId="0" fontId="4" fillId="9" borderId="12" xfId="0" applyFont="1" applyFill="1" applyBorder="1" applyAlignment="1">
      <alignment wrapText="1"/>
    </xf>
    <xf numFmtId="0" fontId="3" fillId="8" borderId="0" xfId="0" applyFont="1" applyFill="1"/>
    <xf numFmtId="170" fontId="4" fillId="0" borderId="0" xfId="1" applyNumberFormat="1" applyFont="1" applyAlignment="1">
      <alignment horizontal="right"/>
    </xf>
    <xf numFmtId="0" fontId="3" fillId="0" borderId="1" xfId="0" applyFont="1" applyBorder="1" applyAlignment="1">
      <alignment horizontal="center" wrapText="1"/>
    </xf>
    <xf numFmtId="169" fontId="4" fillId="0" borderId="0" xfId="3" applyNumberFormat="1" applyFont="1" applyFill="1"/>
    <xf numFmtId="169" fontId="4" fillId="0" borderId="18" xfId="3" applyNumberFormat="1" applyFont="1" applyBorder="1"/>
    <xf numFmtId="43" fontId="4" fillId="0" borderId="0" xfId="1" applyFont="1" applyBorder="1"/>
    <xf numFmtId="0" fontId="3" fillId="0" borderId="7" xfId="0" applyFont="1" applyBorder="1" applyAlignment="1">
      <alignment horizontal="center"/>
    </xf>
    <xf numFmtId="169" fontId="4" fillId="0" borderId="0" xfId="3" applyNumberFormat="1" applyFont="1" applyBorder="1" applyAlignment="1">
      <alignment horizontal="right"/>
    </xf>
    <xf numFmtId="0" fontId="4" fillId="6" borderId="1" xfId="0" applyFont="1" applyFill="1" applyBorder="1" applyAlignment="1">
      <alignment horizontal="center"/>
    </xf>
    <xf numFmtId="0" fontId="3" fillId="0" borderId="0" xfId="0" applyFont="1" applyAlignment="1">
      <alignment horizontal="left" vertical="center" wrapText="1"/>
    </xf>
    <xf numFmtId="0" fontId="3" fillId="0" borderId="0" xfId="0" applyFont="1" applyAlignment="1">
      <alignment wrapText="1"/>
    </xf>
    <xf numFmtId="164" fontId="4" fillId="0" borderId="0" xfId="2" applyNumberFormat="1" applyFont="1" applyBorder="1" applyAlignment="1">
      <alignment horizontal="right"/>
    </xf>
    <xf numFmtId="169" fontId="3" fillId="0" borderId="2" xfId="0" applyNumberFormat="1" applyFont="1" applyBorder="1"/>
    <xf numFmtId="0" fontId="3" fillId="8" borderId="0" xfId="0" applyFont="1" applyFill="1" applyAlignment="1">
      <alignment horizontal="left" vertical="center" wrapText="1"/>
    </xf>
    <xf numFmtId="0" fontId="3" fillId="9" borderId="17" xfId="0" applyFont="1" applyFill="1" applyBorder="1" applyAlignment="1">
      <alignment horizontal="center"/>
    </xf>
    <xf numFmtId="170" fontId="4" fillId="0" borderId="0" xfId="0" applyNumberFormat="1" applyFont="1" applyAlignment="1">
      <alignment horizontal="right"/>
    </xf>
    <xf numFmtId="0" fontId="3" fillId="0" borderId="24" xfId="0" applyFont="1" applyBorder="1" applyAlignment="1">
      <alignment wrapText="1"/>
    </xf>
    <xf numFmtId="0" fontId="4" fillId="2" borderId="5" xfId="0" applyFont="1" applyFill="1" applyBorder="1" applyAlignment="1">
      <alignment horizontal="center"/>
    </xf>
    <xf numFmtId="170" fontId="4" fillId="0" borderId="0" xfId="1" quotePrefix="1" applyNumberFormat="1" applyFont="1"/>
    <xf numFmtId="43" fontId="4" fillId="0" borderId="0" xfId="0" applyNumberFormat="1" applyFont="1" applyAlignment="1">
      <alignment horizontal="right"/>
    </xf>
    <xf numFmtId="43" fontId="4" fillId="0" borderId="0" xfId="1" quotePrefix="1" applyFont="1" applyFill="1" applyBorder="1"/>
    <xf numFmtId="169" fontId="4" fillId="0" borderId="3" xfId="0" applyNumberFormat="1" applyFont="1" applyBorder="1"/>
    <xf numFmtId="164" fontId="4" fillId="9" borderId="0" xfId="2" quotePrefix="1" applyNumberFormat="1" applyFont="1" applyFill="1" applyAlignment="1">
      <alignment horizontal="right"/>
    </xf>
    <xf numFmtId="165" fontId="4" fillId="0" borderId="0" xfId="1" quotePrefix="1" applyNumberFormat="1" applyFont="1" applyFill="1" applyBorder="1" applyAlignment="1">
      <alignment horizontal="right"/>
    </xf>
    <xf numFmtId="165" fontId="4" fillId="0" borderId="0" xfId="0" applyNumberFormat="1" applyFont="1"/>
    <xf numFmtId="169" fontId="4" fillId="0" borderId="0" xfId="3" applyNumberFormat="1" applyFont="1" applyBorder="1" applyAlignment="1"/>
    <xf numFmtId="165" fontId="4" fillId="0" borderId="0" xfId="1" quotePrefix="1" applyNumberFormat="1" applyFont="1" applyBorder="1"/>
    <xf numFmtId="0" fontId="1" fillId="0" borderId="0" xfId="0" applyFont="1"/>
    <xf numFmtId="0" fontId="1" fillId="12" borderId="0" xfId="0" applyFont="1" applyFill="1"/>
    <xf numFmtId="0" fontId="4" fillId="7" borderId="0" xfId="0" applyFont="1" applyFill="1" applyAlignment="1">
      <alignment horizontal="right"/>
    </xf>
    <xf numFmtId="171" fontId="4" fillId="0" borderId="27" xfId="3" applyNumberFormat="1" applyFont="1" applyBorder="1" applyAlignment="1">
      <alignment horizontal="center" vertical="center"/>
    </xf>
    <xf numFmtId="169" fontId="3" fillId="0" borderId="2" xfId="1" applyNumberFormat="1" applyFont="1" applyBorder="1"/>
    <xf numFmtId="165" fontId="4" fillId="0" borderId="0" xfId="1" applyNumberFormat="1" applyFont="1" applyBorder="1" applyAlignment="1">
      <alignment horizontal="center" vertical="center"/>
    </xf>
    <xf numFmtId="172" fontId="6" fillId="0" borderId="1" xfId="0" applyNumberFormat="1" applyFont="1" applyBorder="1" applyAlignment="1">
      <alignment horizontal="center"/>
    </xf>
    <xf numFmtId="0" fontId="11" fillId="0" borderId="0" xfId="0" applyFont="1"/>
    <xf numFmtId="171" fontId="6" fillId="0" borderId="1" xfId="0" applyNumberFormat="1" applyFont="1" applyBorder="1" applyAlignment="1">
      <alignment horizontal="center"/>
    </xf>
    <xf numFmtId="174" fontId="4" fillId="0" borderId="0" xfId="0" applyNumberFormat="1" applyFont="1"/>
    <xf numFmtId="0" fontId="13" fillId="13" borderId="0" xfId="0" applyFont="1" applyFill="1" applyAlignment="1">
      <alignment horizontal="left" vertical="top" wrapText="1"/>
    </xf>
    <xf numFmtId="0" fontId="13" fillId="13" borderId="0" xfId="0" applyFont="1" applyFill="1"/>
    <xf numFmtId="0" fontId="7" fillId="0" borderId="0" xfId="0" applyFont="1" applyAlignment="1">
      <alignment horizontal="right"/>
    </xf>
    <xf numFmtId="0" fontId="4" fillId="8" borderId="11" xfId="0" applyFont="1" applyFill="1" applyBorder="1"/>
    <xf numFmtId="0" fontId="4" fillId="8" borderId="11" xfId="0" applyFont="1" applyFill="1" applyBorder="1" applyAlignment="1">
      <alignment horizontal="right"/>
    </xf>
    <xf numFmtId="43" fontId="4" fillId="0" borderId="0" xfId="1" quotePrefix="1" applyFont="1" applyBorder="1"/>
    <xf numFmtId="0" fontId="3" fillId="8" borderId="20" xfId="0" applyFont="1" applyFill="1" applyBorder="1" applyAlignment="1">
      <alignment horizontal="left" vertical="center"/>
    </xf>
    <xf numFmtId="0" fontId="3" fillId="9" borderId="26" xfId="0" applyFont="1" applyFill="1" applyBorder="1" applyAlignment="1">
      <alignment horizontal="center"/>
    </xf>
    <xf numFmtId="0" fontId="4" fillId="8" borderId="9" xfId="0" applyFont="1" applyFill="1" applyBorder="1"/>
    <xf numFmtId="0" fontId="4" fillId="8" borderId="9" xfId="0" applyFont="1" applyFill="1" applyBorder="1" applyAlignment="1">
      <alignment horizontal="right"/>
    </xf>
    <xf numFmtId="164" fontId="4" fillId="0" borderId="0" xfId="0" applyNumberFormat="1" applyFont="1"/>
    <xf numFmtId="164" fontId="4" fillId="2" borderId="1" xfId="2" applyNumberFormat="1" applyFont="1" applyFill="1" applyBorder="1" applyAlignment="1">
      <alignment horizontal="center"/>
    </xf>
    <xf numFmtId="43" fontId="0" fillId="0" borderId="0" xfId="1" applyFont="1"/>
    <xf numFmtId="0" fontId="5" fillId="14" borderId="1" xfId="0" applyFont="1" applyFill="1" applyBorder="1" applyAlignment="1">
      <alignment horizontal="center" vertical="center" wrapText="1"/>
    </xf>
    <xf numFmtId="10" fontId="4" fillId="0" borderId="0" xfId="0" quotePrefix="1" applyNumberFormat="1" applyFont="1"/>
    <xf numFmtId="168" fontId="6" fillId="14" borderId="0" xfId="0" applyNumberFormat="1" applyFont="1" applyFill="1" applyAlignment="1">
      <alignment horizontal="right" vertical="center" wrapText="1"/>
    </xf>
    <xf numFmtId="0" fontId="3" fillId="0" borderId="3" xfId="0" applyFont="1" applyBorder="1" applyAlignment="1">
      <alignment horizontal="center"/>
    </xf>
    <xf numFmtId="169" fontId="4" fillId="0" borderId="2" xfId="3" applyNumberFormat="1" applyFont="1" applyBorder="1" applyAlignment="1">
      <alignment horizontal="right"/>
    </xf>
    <xf numFmtId="0" fontId="4" fillId="15" borderId="0" xfId="0" applyFont="1" applyFill="1"/>
    <xf numFmtId="171" fontId="4" fillId="0" borderId="2" xfId="0" quotePrefix="1" applyNumberFormat="1" applyFont="1" applyBorder="1" applyAlignment="1">
      <alignment horizontal="center" wrapText="1"/>
    </xf>
    <xf numFmtId="0" fontId="0" fillId="15" borderId="0" xfId="0" applyFill="1" applyAlignment="1">
      <alignment wrapText="1"/>
    </xf>
    <xf numFmtId="0" fontId="0" fillId="15" borderId="0" xfId="0" applyFill="1"/>
    <xf numFmtId="171" fontId="6" fillId="15" borderId="1" xfId="0" applyNumberFormat="1" applyFont="1" applyFill="1" applyBorder="1" applyAlignment="1">
      <alignment horizontal="center"/>
    </xf>
    <xf numFmtId="0" fontId="0" fillId="15" borderId="0" xfId="0" applyFill="1" applyAlignment="1">
      <alignment horizontal="center"/>
    </xf>
    <xf numFmtId="168" fontId="4" fillId="0" borderId="0" xfId="1" quotePrefix="1" applyNumberFormat="1" applyFont="1"/>
    <xf numFmtId="0" fontId="20" fillId="16" borderId="23" xfId="0" applyFont="1" applyFill="1" applyBorder="1" applyAlignment="1">
      <alignment horizontal="center" vertical="center" wrapText="1"/>
    </xf>
    <xf numFmtId="3" fontId="20" fillId="16" borderId="23" xfId="0" applyNumberFormat="1" applyFont="1" applyFill="1" applyBorder="1" applyAlignment="1">
      <alignment horizontal="center" vertical="center" wrapText="1"/>
    </xf>
    <xf numFmtId="6" fontId="20" fillId="16" borderId="23" xfId="0" applyNumberFormat="1" applyFont="1" applyFill="1" applyBorder="1" applyAlignment="1">
      <alignment horizontal="center" vertical="center" wrapText="1"/>
    </xf>
    <xf numFmtId="0" fontId="21" fillId="0" borderId="0" xfId="0" applyFont="1"/>
    <xf numFmtId="165" fontId="21" fillId="0" borderId="0" xfId="1" applyNumberFormat="1" applyFont="1"/>
    <xf numFmtId="0" fontId="22" fillId="0" borderId="0" xfId="0" applyFont="1" applyAlignment="1">
      <alignment horizontal="center"/>
    </xf>
    <xf numFmtId="0" fontId="22" fillId="0" borderId="0" xfId="0" applyFont="1"/>
    <xf numFmtId="0" fontId="22" fillId="15" borderId="1" xfId="0" applyFont="1" applyFill="1" applyBorder="1" applyAlignment="1">
      <alignment horizontal="center" wrapText="1"/>
    </xf>
    <xf numFmtId="165" fontId="22" fillId="15" borderId="10" xfId="1" applyNumberFormat="1" applyFont="1" applyFill="1" applyBorder="1" applyAlignment="1">
      <alignment horizontal="center" wrapText="1"/>
    </xf>
    <xf numFmtId="0" fontId="22" fillId="15" borderId="10" xfId="0" applyFont="1" applyFill="1" applyBorder="1" applyAlignment="1">
      <alignment horizontal="center" wrapText="1"/>
    </xf>
    <xf numFmtId="168" fontId="22" fillId="15" borderId="10" xfId="0" applyNumberFormat="1" applyFont="1" applyFill="1" applyBorder="1" applyAlignment="1">
      <alignment horizontal="center" wrapText="1"/>
    </xf>
    <xf numFmtId="0" fontId="22" fillId="0" borderId="1" xfId="0" applyFont="1" applyBorder="1" applyAlignment="1">
      <alignment horizontal="left"/>
    </xf>
    <xf numFmtId="5" fontId="21" fillId="0" borderId="1" xfId="3" quotePrefix="1" applyNumberFormat="1" applyFont="1" applyFill="1" applyBorder="1" applyAlignment="1">
      <alignment horizontal="center"/>
    </xf>
    <xf numFmtId="169" fontId="21" fillId="0" borderId="0" xfId="3" applyNumberFormat="1" applyFont="1"/>
    <xf numFmtId="0" fontId="21" fillId="0" borderId="9" xfId="0" applyFont="1" applyBorder="1"/>
    <xf numFmtId="165" fontId="21" fillId="0" borderId="0" xfId="1" applyNumberFormat="1" applyFont="1" applyFill="1" applyBorder="1"/>
    <xf numFmtId="0" fontId="19" fillId="15" borderId="14" xfId="0" applyFont="1" applyFill="1" applyBorder="1" applyAlignment="1">
      <alignment horizontal="center" vertical="center" wrapText="1"/>
    </xf>
    <xf numFmtId="0" fontId="19" fillId="15" borderId="13" xfId="0" applyFont="1" applyFill="1" applyBorder="1" applyAlignment="1">
      <alignment horizontal="center" vertical="center" wrapText="1"/>
    </xf>
    <xf numFmtId="0" fontId="19" fillId="15" borderId="5" xfId="0" applyFont="1" applyFill="1" applyBorder="1" applyAlignment="1">
      <alignment horizontal="center" vertical="center" wrapText="1"/>
    </xf>
    <xf numFmtId="0" fontId="19" fillId="6" borderId="5" xfId="0" applyFont="1" applyFill="1" applyBorder="1" applyAlignment="1">
      <alignment horizontal="center" vertical="center" wrapText="1"/>
    </xf>
    <xf numFmtId="3" fontId="19" fillId="6" borderId="14" xfId="0" applyNumberFormat="1" applyFont="1" applyFill="1" applyBorder="1" applyAlignment="1">
      <alignment horizontal="center" vertical="center" wrapText="1"/>
    </xf>
    <xf numFmtId="0" fontId="17" fillId="16" borderId="9" xfId="0" applyFont="1" applyFill="1" applyBorder="1" applyAlignment="1">
      <alignment horizontal="left" vertical="center"/>
    </xf>
    <xf numFmtId="0" fontId="17" fillId="16" borderId="0" xfId="0" applyFont="1" applyFill="1" applyAlignment="1">
      <alignment horizontal="left" vertical="center"/>
    </xf>
    <xf numFmtId="0" fontId="23" fillId="0" borderId="0" xfId="0" applyFont="1"/>
    <xf numFmtId="0" fontId="19" fillId="0" borderId="0" xfId="0" applyFont="1" applyAlignment="1">
      <alignment horizontal="center" vertical="center" wrapText="1"/>
    </xf>
    <xf numFmtId="0" fontId="19" fillId="15" borderId="22" xfId="0" applyFont="1" applyFill="1" applyBorder="1" applyAlignment="1">
      <alignment horizontal="center" vertical="center" wrapText="1"/>
    </xf>
    <xf numFmtId="3" fontId="20" fillId="16" borderId="5" xfId="0" applyNumberFormat="1" applyFont="1" applyFill="1" applyBorder="1" applyAlignment="1">
      <alignment horizontal="center" vertical="center" wrapText="1"/>
    </xf>
    <xf numFmtId="6" fontId="20" fillId="16" borderId="5" xfId="0" applyNumberFormat="1" applyFont="1" applyFill="1" applyBorder="1" applyAlignment="1">
      <alignment horizontal="center" vertical="center" wrapText="1"/>
    </xf>
    <xf numFmtId="0" fontId="17" fillId="16" borderId="9" xfId="0" applyFont="1" applyFill="1" applyBorder="1" applyAlignment="1">
      <alignment horizontal="center" vertical="center" wrapText="1"/>
    </xf>
    <xf numFmtId="0" fontId="17" fillId="16" borderId="0" xfId="0" applyFont="1" applyFill="1" applyAlignment="1">
      <alignment horizontal="left" vertical="center" wrapText="1"/>
    </xf>
    <xf numFmtId="0" fontId="19" fillId="6" borderId="13"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19" fillId="16" borderId="13" xfId="0" applyFont="1" applyFill="1" applyBorder="1" applyAlignment="1">
      <alignment horizontal="center" vertical="center" wrapText="1"/>
    </xf>
    <xf numFmtId="0" fontId="17" fillId="16" borderId="0" xfId="0" applyFont="1" applyFill="1" applyAlignment="1">
      <alignment horizontal="center" vertical="center"/>
    </xf>
    <xf numFmtId="0" fontId="19" fillId="15" borderId="23" xfId="0" applyFont="1" applyFill="1" applyBorder="1" applyAlignment="1">
      <alignment horizontal="center" vertical="center" wrapText="1"/>
    </xf>
    <xf numFmtId="0" fontId="18" fillId="16" borderId="0" xfId="0" applyFont="1" applyFill="1" applyAlignment="1">
      <alignment horizontal="left" vertical="center"/>
    </xf>
    <xf numFmtId="0" fontId="20" fillId="16" borderId="13" xfId="0" applyFont="1" applyFill="1" applyBorder="1" applyAlignment="1">
      <alignment horizontal="center" vertical="center" wrapText="1"/>
    </xf>
    <xf numFmtId="0" fontId="20" fillId="16" borderId="19" xfId="0" applyFont="1" applyFill="1" applyBorder="1" applyAlignment="1">
      <alignment horizontal="center" vertical="center" wrapText="1"/>
    </xf>
    <xf numFmtId="0" fontId="21" fillId="0" borderId="0" xfId="0" quotePrefix="1" applyFont="1" applyAlignment="1">
      <alignment horizontal="center" wrapText="1"/>
    </xf>
    <xf numFmtId="165" fontId="21" fillId="0" borderId="0" xfId="1" quotePrefix="1" applyNumberFormat="1" applyFont="1" applyFill="1" applyBorder="1" applyAlignment="1">
      <alignment horizontal="right"/>
    </xf>
    <xf numFmtId="0" fontId="20" fillId="16" borderId="14" xfId="0" applyFont="1" applyFill="1" applyBorder="1" applyAlignment="1">
      <alignment horizontal="center" vertical="center" wrapText="1"/>
    </xf>
    <xf numFmtId="0" fontId="17" fillId="16" borderId="9" xfId="0" applyFont="1" applyFill="1" applyBorder="1" applyAlignment="1">
      <alignment horizontal="center" vertical="center"/>
    </xf>
    <xf numFmtId="0" fontId="20" fillId="6" borderId="14" xfId="0" applyFont="1" applyFill="1" applyBorder="1" applyAlignment="1">
      <alignment horizontal="center" vertical="center" wrapText="1"/>
    </xf>
    <xf numFmtId="6" fontId="20" fillId="16" borderId="5" xfId="0" applyNumberFormat="1" applyFont="1" applyFill="1" applyBorder="1" applyAlignment="1">
      <alignment horizontal="center" vertical="center"/>
    </xf>
    <xf numFmtId="0" fontId="19" fillId="15" borderId="28" xfId="0" applyFont="1" applyFill="1" applyBorder="1" applyAlignment="1">
      <alignment horizontal="center" vertical="center" wrapText="1"/>
    </xf>
    <xf numFmtId="176" fontId="20" fillId="16" borderId="23" xfId="0" applyNumberFormat="1" applyFont="1" applyFill="1" applyBorder="1" applyAlignment="1">
      <alignment horizontal="center" vertical="center" wrapText="1"/>
    </xf>
    <xf numFmtId="0" fontId="0" fillId="15" borderId="13" xfId="0" applyFill="1" applyBorder="1" applyAlignment="1">
      <alignment vertical="center" wrapText="1"/>
    </xf>
    <xf numFmtId="171" fontId="21" fillId="0" borderId="5" xfId="0" applyNumberFormat="1" applyFont="1" applyBorder="1" applyAlignment="1">
      <alignment horizontal="center"/>
    </xf>
    <xf numFmtId="0" fontId="19" fillId="17" borderId="23" xfId="0" applyFont="1" applyFill="1" applyBorder="1" applyAlignment="1">
      <alignment horizontal="center" vertical="center" wrapText="1"/>
    </xf>
    <xf numFmtId="0" fontId="20" fillId="16" borderId="15" xfId="0" applyFont="1" applyFill="1" applyBorder="1" applyAlignment="1">
      <alignment horizontal="center" vertical="center"/>
    </xf>
    <xf numFmtId="0" fontId="20" fillId="16" borderId="23" xfId="0" applyFont="1" applyFill="1" applyBorder="1" applyAlignment="1">
      <alignment horizontal="center" vertical="center"/>
    </xf>
    <xf numFmtId="0" fontId="19" fillId="15" borderId="13" xfId="0" applyFont="1" applyFill="1" applyBorder="1" applyAlignment="1">
      <alignment horizontal="left" vertical="center"/>
    </xf>
    <xf numFmtId="0" fontId="19" fillId="15" borderId="15" xfId="0" applyFont="1" applyFill="1" applyBorder="1" applyAlignment="1">
      <alignment horizontal="left" vertical="center"/>
    </xf>
    <xf numFmtId="0" fontId="19" fillId="15" borderId="16" xfId="0" applyFont="1" applyFill="1" applyBorder="1" applyAlignment="1">
      <alignment horizontal="left" vertical="center"/>
    </xf>
    <xf numFmtId="0" fontId="19" fillId="15" borderId="14" xfId="0" applyFont="1" applyFill="1" applyBorder="1" applyAlignment="1">
      <alignment horizontal="left" vertical="center"/>
    </xf>
    <xf numFmtId="0" fontId="19" fillId="6" borderId="13" xfId="0" applyFont="1" applyFill="1" applyBorder="1" applyAlignment="1">
      <alignment horizontal="left" vertical="center"/>
    </xf>
    <xf numFmtId="0" fontId="20" fillId="16" borderId="0" xfId="0" applyFont="1" applyFill="1" applyAlignment="1">
      <alignment horizontal="left" vertical="center"/>
    </xf>
    <xf numFmtId="16" fontId="20" fillId="16" borderId="23" xfId="0" applyNumberFormat="1" applyFont="1" applyFill="1" applyBorder="1" applyAlignment="1">
      <alignment horizontal="center" vertical="center" wrapText="1"/>
    </xf>
    <xf numFmtId="0" fontId="20" fillId="6" borderId="23" xfId="0" applyFont="1" applyFill="1" applyBorder="1" applyAlignment="1">
      <alignment horizontal="center" vertical="center"/>
    </xf>
    <xf numFmtId="0" fontId="20" fillId="6" borderId="15" xfId="0" applyFont="1" applyFill="1" applyBorder="1" applyAlignment="1">
      <alignment horizontal="center" vertical="center"/>
    </xf>
    <xf numFmtId="0" fontId="20" fillId="6" borderId="5" xfId="0" applyFont="1" applyFill="1" applyBorder="1" applyAlignment="1">
      <alignment horizontal="center" vertical="center"/>
    </xf>
    <xf numFmtId="0" fontId="20" fillId="16" borderId="13" xfId="0" applyFont="1" applyFill="1" applyBorder="1" applyAlignment="1">
      <alignment horizontal="center" vertical="center"/>
    </xf>
    <xf numFmtId="0" fontId="20" fillId="16" borderId="5" xfId="0" applyFont="1" applyFill="1" applyBorder="1" applyAlignment="1">
      <alignment horizontal="center" vertical="center"/>
    </xf>
    <xf numFmtId="9" fontId="20" fillId="16" borderId="23" xfId="0" applyNumberFormat="1" applyFont="1" applyFill="1" applyBorder="1" applyAlignment="1">
      <alignment horizontal="center" vertical="center" wrapText="1"/>
    </xf>
    <xf numFmtId="0" fontId="24" fillId="16" borderId="0" xfId="0" applyFont="1" applyFill="1" applyAlignment="1">
      <alignment vertical="center" wrapText="1"/>
    </xf>
    <xf numFmtId="0" fontId="17" fillId="16" borderId="0" xfId="0" applyFont="1" applyFill="1" applyAlignment="1">
      <alignment horizontal="center" vertical="center" wrapText="1"/>
    </xf>
    <xf numFmtId="0" fontId="19" fillId="6" borderId="14" xfId="0" applyFont="1" applyFill="1" applyBorder="1" applyAlignment="1">
      <alignment horizontal="center" vertical="center" wrapText="1"/>
    </xf>
    <xf numFmtId="171" fontId="21" fillId="0" borderId="29" xfId="0" applyNumberFormat="1" applyFont="1" applyBorder="1" applyAlignment="1">
      <alignment horizontal="center"/>
    </xf>
    <xf numFmtId="0" fontId="17" fillId="16" borderId="0" xfId="0" applyFont="1" applyFill="1" applyAlignment="1">
      <alignment vertical="center"/>
    </xf>
    <xf numFmtId="172" fontId="21" fillId="0" borderId="5" xfId="0" applyNumberFormat="1" applyFont="1" applyBorder="1" applyAlignment="1">
      <alignment horizontal="center"/>
    </xf>
    <xf numFmtId="171" fontId="21" fillId="15" borderId="5" xfId="0" applyNumberFormat="1" applyFont="1" applyFill="1" applyBorder="1" applyAlignment="1">
      <alignment horizontal="center"/>
    </xf>
    <xf numFmtId="171" fontId="21" fillId="15" borderId="29" xfId="0" applyNumberFormat="1" applyFont="1" applyFill="1" applyBorder="1" applyAlignment="1">
      <alignment horizontal="center"/>
    </xf>
    <xf numFmtId="0" fontId="19" fillId="0" borderId="13" xfId="0" applyFont="1" applyBorder="1" applyAlignment="1">
      <alignment horizontal="center" vertical="center" wrapText="1"/>
    </xf>
    <xf numFmtId="0" fontId="19" fillId="16" borderId="28" xfId="0" applyFont="1" applyFill="1" applyBorder="1" applyAlignment="1">
      <alignment horizontal="center" vertical="center" wrapText="1"/>
    </xf>
    <xf numFmtId="0" fontId="19" fillId="16" borderId="5" xfId="0" applyFont="1" applyFill="1" applyBorder="1" applyAlignment="1">
      <alignment horizontal="center" vertical="center" wrapText="1"/>
    </xf>
    <xf numFmtId="171" fontId="21" fillId="0" borderId="5" xfId="0" applyNumberFormat="1" applyFont="1" applyBorder="1" applyAlignment="1">
      <alignment horizontal="center" vertical="center"/>
    </xf>
    <xf numFmtId="0" fontId="19" fillId="16" borderId="13" xfId="0" applyFont="1" applyFill="1" applyBorder="1" applyAlignment="1">
      <alignment horizontal="center" vertical="center"/>
    </xf>
    <xf numFmtId="171" fontId="21" fillId="0" borderId="25" xfId="0" applyNumberFormat="1" applyFont="1" applyBorder="1" applyAlignment="1">
      <alignment horizontal="center" vertical="center"/>
    </xf>
    <xf numFmtId="0" fontId="25" fillId="16" borderId="11" xfId="0" applyFont="1" applyFill="1" applyBorder="1" applyAlignment="1">
      <alignment horizontal="left" vertical="center"/>
    </xf>
    <xf numFmtId="0" fontId="25" fillId="16" borderId="0" xfId="0" applyFont="1" applyFill="1" applyAlignment="1">
      <alignment horizontal="left" vertical="center"/>
    </xf>
    <xf numFmtId="0" fontId="24" fillId="16" borderId="0" xfId="0" applyFont="1" applyFill="1" applyAlignment="1">
      <alignment vertical="center"/>
    </xf>
    <xf numFmtId="165" fontId="21" fillId="0" borderId="0" xfId="1" applyNumberFormat="1" applyFont="1" applyAlignment="1"/>
    <xf numFmtId="175" fontId="21" fillId="0" borderId="5" xfId="0" applyNumberFormat="1" applyFont="1" applyBorder="1" applyAlignment="1">
      <alignment horizontal="center" vertical="center"/>
    </xf>
    <xf numFmtId="0" fontId="19" fillId="5" borderId="5" xfId="0" applyFont="1" applyFill="1" applyBorder="1" applyAlignment="1">
      <alignment horizontal="center" vertical="center"/>
    </xf>
    <xf numFmtId="0" fontId="19" fillId="5" borderId="14" xfId="0" applyFont="1" applyFill="1" applyBorder="1" applyAlignment="1">
      <alignment horizontal="center" vertical="center"/>
    </xf>
    <xf numFmtId="0" fontId="19" fillId="5" borderId="5"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19" fillId="5" borderId="13" xfId="0" applyFont="1" applyFill="1" applyBorder="1" applyAlignment="1">
      <alignment horizontal="left" vertical="center"/>
    </xf>
    <xf numFmtId="0" fontId="20" fillId="5" borderId="15"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23"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23" fillId="0" borderId="0" xfId="0" applyFont="1" applyAlignment="1">
      <alignment horizontal="center"/>
    </xf>
    <xf numFmtId="9" fontId="21" fillId="0" borderId="0" xfId="2" applyFont="1"/>
    <xf numFmtId="0" fontId="20" fillId="16" borderId="23" xfId="0" quotePrefix="1" applyFont="1" applyFill="1" applyBorder="1" applyAlignment="1">
      <alignment horizontal="center" vertical="center" wrapText="1"/>
    </xf>
    <xf numFmtId="0" fontId="20" fillId="0" borderId="23" xfId="0" applyFont="1" applyBorder="1" applyAlignment="1">
      <alignment horizontal="center" vertical="center" wrapText="1"/>
    </xf>
    <xf numFmtId="14" fontId="20" fillId="16" borderId="23" xfId="0" quotePrefix="1" applyNumberFormat="1" applyFont="1" applyFill="1" applyBorder="1" applyAlignment="1">
      <alignment horizontal="center" vertical="center" wrapText="1"/>
    </xf>
    <xf numFmtId="0" fontId="3" fillId="8" borderId="22" xfId="0" applyFont="1" applyFill="1" applyBorder="1" applyAlignment="1">
      <alignment horizontal="left" vertical="center"/>
    </xf>
    <xf numFmtId="43" fontId="4" fillId="0" borderId="7" xfId="1" applyFont="1" applyBorder="1" applyAlignment="1">
      <alignment horizontal="right"/>
    </xf>
    <xf numFmtId="43" fontId="4" fillId="0" borderId="7" xfId="1" applyFont="1" applyBorder="1" applyAlignment="1">
      <alignment horizontal="right" vertical="center"/>
    </xf>
    <xf numFmtId="43" fontId="6" fillId="0" borderId="7" xfId="1" applyFont="1" applyBorder="1" applyAlignment="1">
      <alignment horizontal="right"/>
    </xf>
    <xf numFmtId="43" fontId="6" fillId="0" borderId="0" xfId="1" applyFont="1" applyAlignment="1">
      <alignment horizontal="right"/>
    </xf>
    <xf numFmtId="0" fontId="12" fillId="13" borderId="0" xfId="0" applyFont="1" applyFill="1" applyAlignment="1">
      <alignment horizontal="center"/>
    </xf>
    <xf numFmtId="0" fontId="25" fillId="16" borderId="11" xfId="0" applyFont="1" applyFill="1" applyBorder="1" applyAlignment="1">
      <alignment horizontal="left" vertical="center" wrapText="1"/>
    </xf>
    <xf numFmtId="0" fontId="25" fillId="16" borderId="11" xfId="0" applyFont="1" applyFill="1" applyBorder="1" applyAlignment="1">
      <alignment vertical="center" wrapText="1"/>
    </xf>
    <xf numFmtId="14" fontId="20" fillId="16" borderId="8" xfId="0" quotePrefix="1" applyNumberFormat="1" applyFont="1" applyFill="1" applyBorder="1" applyAlignment="1">
      <alignment horizontal="center" vertical="center" wrapText="1"/>
    </xf>
    <xf numFmtId="14" fontId="20" fillId="16" borderId="13" xfId="0" applyNumberFormat="1" applyFont="1" applyFill="1" applyBorder="1" applyAlignment="1">
      <alignment horizontal="center" vertical="center" wrapText="1"/>
    </xf>
    <xf numFmtId="0" fontId="24" fillId="16" borderId="25" xfId="0" applyFont="1" applyFill="1" applyBorder="1" applyAlignment="1">
      <alignment vertical="center" wrapText="1"/>
    </xf>
    <xf numFmtId="0" fontId="20" fillId="16" borderId="8" xfId="0" quotePrefix="1" applyFont="1" applyFill="1" applyBorder="1" applyAlignment="1">
      <alignment horizontal="center" vertical="center" wrapText="1"/>
    </xf>
    <xf numFmtId="0" fontId="19" fillId="17" borderId="8" xfId="0" applyFont="1" applyFill="1" applyBorder="1" applyAlignment="1">
      <alignment horizontal="center" vertical="center" wrapText="1"/>
    </xf>
    <xf numFmtId="0" fontId="19" fillId="17" borderId="28" xfId="0" applyFont="1" applyFill="1" applyBorder="1" applyAlignment="1">
      <alignment horizontal="center" vertical="center" wrapText="1"/>
    </xf>
    <xf numFmtId="0" fontId="19" fillId="17" borderId="13" xfId="0" applyFont="1" applyFill="1" applyBorder="1" applyAlignment="1">
      <alignment horizontal="center" vertical="center" wrapText="1"/>
    </xf>
    <xf numFmtId="0" fontId="19" fillId="17" borderId="20" xfId="0" applyFont="1" applyFill="1" applyBorder="1" applyAlignment="1">
      <alignment horizontal="center" vertical="center" wrapText="1"/>
    </xf>
    <xf numFmtId="0" fontId="19" fillId="17" borderId="11" xfId="0" applyFont="1" applyFill="1" applyBorder="1" applyAlignment="1">
      <alignment horizontal="center" vertical="center" wrapText="1"/>
    </xf>
    <xf numFmtId="0" fontId="19" fillId="17" borderId="21" xfId="0" applyFont="1" applyFill="1" applyBorder="1" applyAlignment="1">
      <alignment horizontal="center" vertical="center" wrapText="1"/>
    </xf>
    <xf numFmtId="0" fontId="19" fillId="17" borderId="25" xfId="0" applyFont="1" applyFill="1" applyBorder="1" applyAlignment="1">
      <alignment horizontal="center" vertical="center" wrapText="1"/>
    </xf>
    <xf numFmtId="0" fontId="19" fillId="17" borderId="0" xfId="0" applyFont="1" applyFill="1" applyAlignment="1">
      <alignment horizontal="center" vertical="center" wrapText="1"/>
    </xf>
    <xf numFmtId="0" fontId="19" fillId="17" borderId="19" xfId="0" applyFont="1" applyFill="1" applyBorder="1" applyAlignment="1">
      <alignment horizontal="center" vertical="center" wrapText="1"/>
    </xf>
    <xf numFmtId="0" fontId="19" fillId="17" borderId="22" xfId="0" applyFont="1" applyFill="1" applyBorder="1" applyAlignment="1">
      <alignment horizontal="center" vertical="center" wrapText="1"/>
    </xf>
    <xf numFmtId="0" fontId="19" fillId="17" borderId="9" xfId="0" applyFont="1" applyFill="1" applyBorder="1" applyAlignment="1">
      <alignment horizontal="center" vertical="center" wrapText="1"/>
    </xf>
    <xf numFmtId="0" fontId="0" fillId="17" borderId="22" xfId="0" applyFill="1" applyBorder="1" applyAlignment="1">
      <alignment vertical="top" wrapText="1"/>
    </xf>
    <xf numFmtId="0" fontId="0" fillId="17" borderId="9" xfId="0" applyFill="1" applyBorder="1" applyAlignment="1">
      <alignment vertical="top" wrapText="1"/>
    </xf>
    <xf numFmtId="0" fontId="0" fillId="17" borderId="23" xfId="0" applyFill="1" applyBorder="1" applyAlignment="1">
      <alignment vertical="top" wrapText="1"/>
    </xf>
    <xf numFmtId="0" fontId="19" fillId="15" borderId="15" xfId="0" applyFont="1" applyFill="1" applyBorder="1" applyAlignment="1">
      <alignment horizontal="center" vertical="center" wrapText="1"/>
    </xf>
    <xf numFmtId="0" fontId="19" fillId="15" borderId="16"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0" fillId="16" borderId="25" xfId="0" applyFont="1" applyFill="1" applyBorder="1" applyAlignment="1">
      <alignment horizontal="center" vertical="center" wrapText="1"/>
    </xf>
    <xf numFmtId="0" fontId="20" fillId="16" borderId="0" xfId="0" applyFont="1" applyFill="1" applyAlignment="1">
      <alignment horizontal="center" vertical="center" wrapText="1"/>
    </xf>
    <xf numFmtId="0" fontId="20" fillId="16" borderId="22" xfId="0" applyFont="1" applyFill="1" applyBorder="1" applyAlignment="1">
      <alignment horizontal="center" vertical="center" wrapText="1"/>
    </xf>
    <xf numFmtId="0" fontId="20" fillId="16" borderId="9" xfId="0" applyFont="1" applyFill="1" applyBorder="1" applyAlignment="1">
      <alignment horizontal="center" vertical="center" wrapText="1"/>
    </xf>
    <xf numFmtId="0" fontId="20" fillId="16" borderId="15" xfId="0" applyFont="1" applyFill="1" applyBorder="1" applyAlignment="1">
      <alignment horizontal="center" vertical="center" wrapText="1"/>
    </xf>
    <xf numFmtId="0" fontId="20" fillId="16" borderId="16" xfId="0" applyFont="1" applyFill="1" applyBorder="1" applyAlignment="1">
      <alignment horizontal="center" vertical="center" wrapText="1"/>
    </xf>
    <xf numFmtId="0" fontId="20" fillId="16" borderId="20" xfId="0" applyFont="1" applyFill="1" applyBorder="1" applyAlignment="1">
      <alignment horizontal="center" vertical="center" wrapText="1"/>
    </xf>
    <xf numFmtId="0" fontId="20" fillId="16" borderId="11" xfId="0" applyFont="1" applyFill="1" applyBorder="1" applyAlignment="1">
      <alignment horizontal="center" vertical="center" wrapText="1"/>
    </xf>
    <xf numFmtId="0" fontId="20" fillId="16" borderId="21" xfId="0" applyFont="1" applyFill="1" applyBorder="1" applyAlignment="1">
      <alignment horizontal="center" vertical="center" wrapText="1"/>
    </xf>
    <xf numFmtId="0" fontId="4" fillId="12" borderId="0" xfId="0" applyFont="1" applyFill="1"/>
    <xf numFmtId="0" fontId="4" fillId="12" borderId="0" xfId="0" applyFont="1" applyFill="1" applyAlignment="1">
      <alignment horizontal="right"/>
    </xf>
    <xf numFmtId="0" fontId="4" fillId="7" borderId="9" xfId="0" applyFont="1" applyFill="1" applyBorder="1"/>
    <xf numFmtId="0" fontId="4" fillId="7" borderId="9" xfId="0" applyFont="1" applyFill="1" applyBorder="1" applyAlignment="1">
      <alignment horizontal="right"/>
    </xf>
    <xf numFmtId="43" fontId="6" fillId="0" borderId="2" xfId="1" applyFont="1" applyBorder="1" applyAlignment="1">
      <alignment horizontal="right"/>
    </xf>
    <xf numFmtId="43" fontId="4" fillId="0" borderId="0" xfId="1" quotePrefix="1" applyFont="1" applyFill="1" applyAlignment="1">
      <alignment horizontal="right"/>
    </xf>
    <xf numFmtId="164" fontId="21" fillId="0" borderId="0" xfId="2" applyNumberFormat="1" applyFont="1" applyFill="1"/>
    <xf numFmtId="165" fontId="21" fillId="0" borderId="0" xfId="1" applyNumberFormat="1" applyFont="1" applyFill="1"/>
    <xf numFmtId="5" fontId="4" fillId="0" borderId="3" xfId="0" applyNumberFormat="1" applyFont="1" applyBorder="1" applyAlignment="1">
      <alignment horizontal="center"/>
    </xf>
    <xf numFmtId="43" fontId="0" fillId="0" borderId="0" xfId="1" applyFont="1" applyBorder="1" applyAlignment="1">
      <alignment horizontal="left"/>
    </xf>
    <xf numFmtId="169" fontId="4" fillId="9" borderId="1" xfId="3" applyNumberFormat="1" applyFont="1" applyFill="1" applyBorder="1"/>
    <xf numFmtId="0" fontId="0" fillId="18" borderId="0" xfId="0" applyFill="1" applyAlignment="1">
      <alignment horizontal="center"/>
    </xf>
    <xf numFmtId="171" fontId="4" fillId="18" borderId="1" xfId="3" applyNumberFormat="1" applyFont="1" applyFill="1" applyBorder="1" applyAlignment="1">
      <alignment horizontal="center" vertical="center"/>
    </xf>
    <xf numFmtId="0" fontId="0" fillId="18" borderId="0" xfId="0" applyFill="1"/>
    <xf numFmtId="171" fontId="4" fillId="18" borderId="1" xfId="0" applyNumberFormat="1" applyFont="1" applyFill="1" applyBorder="1" applyAlignment="1">
      <alignment horizontal="center"/>
    </xf>
    <xf numFmtId="171" fontId="4" fillId="18" borderId="0" xfId="0" applyNumberFormat="1" applyFont="1" applyFill="1" applyAlignment="1">
      <alignment horizontal="center"/>
    </xf>
    <xf numFmtId="2" fontId="0" fillId="18" borderId="0" xfId="0" applyNumberFormat="1" applyFill="1"/>
    <xf numFmtId="6" fontId="0" fillId="0" borderId="0" xfId="0" applyNumberFormat="1"/>
    <xf numFmtId="8" fontId="0" fillId="0" borderId="0" xfId="0" applyNumberFormat="1"/>
    <xf numFmtId="171" fontId="6" fillId="15" borderId="1" xfId="0" applyNumberFormat="1" applyFont="1" applyFill="1" applyBorder="1" applyAlignment="1">
      <alignment horizontal="center" vertical="center"/>
    </xf>
    <xf numFmtId="6" fontId="0" fillId="15" borderId="1" xfId="0" applyNumberFormat="1" applyFill="1" applyBorder="1"/>
    <xf numFmtId="165" fontId="0" fillId="0" borderId="0" xfId="1" applyNumberFormat="1" applyFont="1"/>
    <xf numFmtId="165" fontId="0" fillId="0" borderId="2" xfId="1" applyNumberFormat="1" applyFont="1" applyBorder="1"/>
    <xf numFmtId="165" fontId="26" fillId="0" borderId="0" xfId="1" applyNumberFormat="1" applyFont="1"/>
    <xf numFmtId="0" fontId="15" fillId="13" borderId="0" xfId="0" applyFont="1" applyFill="1" applyAlignment="1">
      <alignment horizontal="left" vertical="center" wrapText="1"/>
    </xf>
    <xf numFmtId="0" fontId="13" fillId="13" borderId="0" xfId="0" applyFont="1" applyFill="1" applyAlignment="1">
      <alignment horizontal="left" vertical="center" wrapText="1"/>
    </xf>
    <xf numFmtId="0" fontId="12" fillId="13" borderId="0" xfId="0" applyFont="1" applyFill="1" applyAlignment="1">
      <alignment horizontal="center" vertical="center"/>
    </xf>
    <xf numFmtId="0" fontId="13" fillId="13" borderId="0" xfId="0" applyFont="1" applyFill="1" applyAlignment="1">
      <alignment horizontal="center" vertical="center" wrapText="1"/>
    </xf>
    <xf numFmtId="0" fontId="12" fillId="13" borderId="0" xfId="0" applyFont="1" applyFill="1" applyAlignment="1">
      <alignment horizontal="center"/>
    </xf>
    <xf numFmtId="0" fontId="13" fillId="13" borderId="0" xfId="0" applyFont="1" applyFill="1" applyAlignment="1">
      <alignment horizontal="left" vertical="top" wrapText="1"/>
    </xf>
    <xf numFmtId="0" fontId="8" fillId="0" borderId="0" xfId="0" applyFont="1" applyAlignment="1">
      <alignment horizontal="center"/>
    </xf>
    <xf numFmtId="0" fontId="8" fillId="0" borderId="0" xfId="0" quotePrefix="1" applyFont="1" applyAlignment="1">
      <alignment horizontal="center"/>
    </xf>
    <xf numFmtId="43" fontId="4" fillId="0" borderId="0" xfId="1" applyFont="1" applyAlignment="1">
      <alignment horizontal="right"/>
    </xf>
    <xf numFmtId="43" fontId="4" fillId="0" borderId="0" xfId="1" applyFont="1" applyBorder="1" applyAlignment="1">
      <alignment horizontal="right"/>
    </xf>
    <xf numFmtId="43" fontId="3" fillId="0" borderId="0" xfId="1" applyFont="1" applyAlignment="1">
      <alignment horizontal="center"/>
    </xf>
    <xf numFmtId="0" fontId="4" fillId="0" borderId="0" xfId="0" applyFont="1" applyAlignment="1">
      <alignment horizontal="center"/>
    </xf>
    <xf numFmtId="0" fontId="0" fillId="0" borderId="0" xfId="0" applyFill="1" applyAlignment="1">
      <alignment horizontal="left"/>
    </xf>
    <xf numFmtId="171" fontId="4" fillId="0" borderId="2" xfId="0" quotePrefix="1" applyNumberFormat="1" applyFont="1" applyFill="1" applyBorder="1" applyAlignment="1">
      <alignment horizontal="center" wrapText="1"/>
    </xf>
  </cellXfs>
  <cellStyles count="6">
    <cellStyle name="Comma" xfId="1" builtinId="3"/>
    <cellStyle name="Comma 10" xfId="4" xr:uid="{7D3C70C7-9F86-4D4C-A88D-D776DD5CD547}"/>
    <cellStyle name="Currency" xfId="3" builtinId="4"/>
    <cellStyle name="Normal" xfId="0" builtinId="0"/>
    <cellStyle name="Percent" xfId="2" builtinId="5"/>
    <cellStyle name="Percent 10" xfId="5" xr:uid="{0B4820A3-1BD8-440E-8735-6D2A72DBC0F1}"/>
  </cellStyles>
  <dxfs count="9">
    <dxf>
      <fill>
        <patternFill>
          <bgColor rgb="FFE74F3D"/>
        </patternFill>
      </fill>
    </dxf>
    <dxf>
      <fill>
        <patternFill>
          <bgColor rgb="FFE74F3D"/>
        </patternFill>
      </fill>
    </dxf>
    <dxf>
      <fill>
        <patternFill>
          <bgColor rgb="FFE74F3D"/>
        </patternFill>
      </fill>
    </dxf>
    <dxf>
      <fill>
        <patternFill>
          <bgColor rgb="FFE74F3D"/>
        </patternFill>
      </fill>
    </dxf>
    <dxf>
      <fill>
        <patternFill>
          <bgColor rgb="FFE74F3D"/>
        </patternFill>
      </fill>
    </dxf>
    <dxf>
      <fill>
        <patternFill>
          <bgColor rgb="FFE74F3D"/>
        </patternFill>
      </fill>
    </dxf>
    <dxf>
      <fill>
        <patternFill>
          <bgColor rgb="FFE74F3D"/>
        </patternFill>
      </fill>
    </dxf>
    <dxf>
      <fill>
        <patternFill>
          <bgColor rgb="FFE74F3D"/>
        </patternFill>
      </fill>
    </dxf>
    <dxf>
      <fill>
        <patternFill>
          <bgColor rgb="FFE74F3D"/>
        </patternFill>
      </fill>
    </dxf>
  </dxfs>
  <tableStyles count="0" defaultTableStyle="TableStyleMedium2" defaultPivotStyle="PivotStyleLight16"/>
  <colors>
    <mruColors>
      <color rgb="FFB6DCE1"/>
      <color rgb="FF487629"/>
      <color rgb="FFE74F3D"/>
      <color rgb="FFFFC844"/>
      <color rgb="FFA5D07A"/>
      <color rgb="FF80BC00"/>
      <color rgb="FFD9D8D6"/>
      <color rgb="FF54C0FF"/>
      <color rgb="FF54C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MISO Prime">
      <a:dk1>
        <a:srgbClr val="000000"/>
      </a:dk1>
      <a:lt1>
        <a:srgbClr val="FFFFFF"/>
      </a:lt1>
      <a:dk2>
        <a:srgbClr val="0082CA"/>
      </a:dk2>
      <a:lt2>
        <a:srgbClr val="80BC00"/>
      </a:lt2>
      <a:accent1>
        <a:srgbClr val="B2292E"/>
      </a:accent1>
      <a:accent2>
        <a:srgbClr val="FF9E18"/>
      </a:accent2>
      <a:accent3>
        <a:srgbClr val="91B6BB"/>
      </a:accent3>
      <a:accent4>
        <a:srgbClr val="A7A8A9"/>
      </a:accent4>
      <a:accent5>
        <a:srgbClr val="54C0E8"/>
      </a:accent5>
      <a:accent6>
        <a:srgbClr val="E0DF00"/>
      </a:accent6>
      <a:hlink>
        <a:srgbClr val="004D7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C113-21A2-4C5B-87BA-0C2AB4E399F3}">
  <sheetPr>
    <tabColor theme="7"/>
  </sheetPr>
  <dimension ref="A1:N34"/>
  <sheetViews>
    <sheetView workbookViewId="0">
      <selection sqref="A1:I1"/>
    </sheetView>
  </sheetViews>
  <sheetFormatPr defaultRowHeight="14.5" x14ac:dyDescent="0.35"/>
  <sheetData>
    <row r="1" spans="1:9" ht="18" x14ac:dyDescent="0.4">
      <c r="A1" s="358" t="s">
        <v>267</v>
      </c>
      <c r="B1" s="358"/>
      <c r="C1" s="358"/>
      <c r="D1" s="358"/>
      <c r="E1" s="358"/>
      <c r="F1" s="358"/>
      <c r="G1" s="358"/>
      <c r="H1" s="358"/>
      <c r="I1" s="358"/>
    </row>
    <row r="2" spans="1:9" ht="18" x14ac:dyDescent="0.4">
      <c r="A2" s="296"/>
      <c r="B2" s="296"/>
      <c r="C2" s="296"/>
      <c r="D2" s="296"/>
      <c r="E2" s="296"/>
      <c r="F2" s="296"/>
      <c r="G2" s="296"/>
      <c r="H2" s="296"/>
      <c r="I2" s="296"/>
    </row>
    <row r="3" spans="1:9" x14ac:dyDescent="0.35">
      <c r="A3" s="359" t="s">
        <v>661</v>
      </c>
      <c r="B3" s="359"/>
      <c r="C3" s="359"/>
      <c r="D3" s="359"/>
      <c r="E3" s="359"/>
      <c r="F3" s="359"/>
      <c r="G3" s="359"/>
      <c r="H3" s="359"/>
      <c r="I3" s="359"/>
    </row>
    <row r="4" spans="1:9" x14ac:dyDescent="0.35">
      <c r="A4" s="359"/>
      <c r="B4" s="359"/>
      <c r="C4" s="359"/>
      <c r="D4" s="359"/>
      <c r="E4" s="359"/>
      <c r="F4" s="359"/>
      <c r="G4" s="359"/>
      <c r="H4" s="359"/>
      <c r="I4" s="359"/>
    </row>
    <row r="5" spans="1:9" ht="18" x14ac:dyDescent="0.4">
      <c r="A5" s="296"/>
      <c r="B5" s="296"/>
      <c r="C5" s="296"/>
      <c r="D5" s="296"/>
      <c r="E5" s="296"/>
      <c r="F5" s="296"/>
      <c r="G5" s="296"/>
      <c r="H5" s="296"/>
      <c r="I5" s="296"/>
    </row>
    <row r="6" spans="1:9" x14ac:dyDescent="0.35">
      <c r="A6" s="359" t="s">
        <v>268</v>
      </c>
      <c r="B6" s="359"/>
      <c r="C6" s="359"/>
      <c r="D6" s="359"/>
      <c r="E6" s="359"/>
      <c r="F6" s="359"/>
      <c r="G6" s="359"/>
      <c r="H6" s="359"/>
      <c r="I6" s="359"/>
    </row>
    <row r="7" spans="1:9" x14ac:dyDescent="0.35">
      <c r="A7" s="359"/>
      <c r="B7" s="359"/>
      <c r="C7" s="359"/>
      <c r="D7" s="359"/>
      <c r="E7" s="359"/>
      <c r="F7" s="359"/>
      <c r="G7" s="359"/>
      <c r="H7" s="359"/>
      <c r="I7" s="359"/>
    </row>
    <row r="8" spans="1:9" x14ac:dyDescent="0.35">
      <c r="A8" s="168"/>
      <c r="B8" s="168"/>
      <c r="C8" s="168"/>
      <c r="D8" s="168"/>
      <c r="E8" s="168"/>
      <c r="F8" s="168"/>
      <c r="G8" s="168"/>
      <c r="H8" s="168"/>
      <c r="I8" s="168"/>
    </row>
    <row r="9" spans="1:9" ht="14.5" customHeight="1" x14ac:dyDescent="0.35">
      <c r="A9" s="359" t="s">
        <v>660</v>
      </c>
      <c r="B9" s="359"/>
      <c r="C9" s="359"/>
      <c r="D9" s="359"/>
      <c r="E9" s="359"/>
      <c r="F9" s="359"/>
      <c r="G9" s="359"/>
      <c r="H9" s="359"/>
      <c r="I9" s="359"/>
    </row>
    <row r="10" spans="1:9" x14ac:dyDescent="0.35">
      <c r="A10" s="359"/>
      <c r="B10" s="359"/>
      <c r="C10" s="359"/>
      <c r="D10" s="359"/>
      <c r="E10" s="359"/>
      <c r="F10" s="359"/>
      <c r="G10" s="359"/>
      <c r="H10" s="359"/>
      <c r="I10" s="359"/>
    </row>
    <row r="11" spans="1:9" x14ac:dyDescent="0.35">
      <c r="A11" s="168"/>
      <c r="B11" s="168"/>
      <c r="C11" s="168"/>
      <c r="D11" s="168"/>
      <c r="E11" s="168"/>
      <c r="F11" s="168"/>
      <c r="G11" s="168"/>
      <c r="H11" s="168"/>
      <c r="I11" s="168"/>
    </row>
    <row r="12" spans="1:9" x14ac:dyDescent="0.35">
      <c r="A12" s="359" t="s">
        <v>269</v>
      </c>
      <c r="B12" s="359"/>
      <c r="C12" s="359"/>
      <c r="D12" s="359"/>
      <c r="E12" s="359"/>
      <c r="F12" s="359"/>
      <c r="G12" s="359"/>
      <c r="H12" s="359"/>
      <c r="I12" s="359"/>
    </row>
    <row r="13" spans="1:9" x14ac:dyDescent="0.35">
      <c r="A13" s="359"/>
      <c r="B13" s="359"/>
      <c r="C13" s="359"/>
      <c r="D13" s="359"/>
      <c r="E13" s="359"/>
      <c r="F13" s="359"/>
      <c r="G13" s="359"/>
      <c r="H13" s="359"/>
      <c r="I13" s="359"/>
    </row>
    <row r="14" spans="1:9" x14ac:dyDescent="0.35">
      <c r="A14" s="169"/>
      <c r="B14" s="169"/>
      <c r="C14" s="169"/>
      <c r="D14" s="169"/>
      <c r="E14" s="169"/>
      <c r="F14" s="169"/>
      <c r="G14" s="169"/>
      <c r="H14" s="169"/>
      <c r="I14" s="169"/>
    </row>
    <row r="15" spans="1:9" x14ac:dyDescent="0.35">
      <c r="A15" s="359" t="s">
        <v>286</v>
      </c>
      <c r="B15" s="359"/>
      <c r="C15" s="359"/>
      <c r="D15" s="359"/>
      <c r="E15" s="359"/>
      <c r="F15" s="359"/>
      <c r="G15" s="359"/>
      <c r="H15" s="359"/>
      <c r="I15" s="359"/>
    </row>
    <row r="16" spans="1:9" x14ac:dyDescent="0.35">
      <c r="A16" s="359"/>
      <c r="B16" s="359"/>
      <c r="C16" s="359"/>
      <c r="D16" s="359"/>
      <c r="E16" s="359"/>
      <c r="F16" s="359"/>
      <c r="G16" s="359"/>
      <c r="H16" s="359"/>
      <c r="I16" s="359"/>
    </row>
    <row r="17" spans="1:14" x14ac:dyDescent="0.35">
      <c r="A17" s="168"/>
      <c r="B17" s="168"/>
      <c r="C17" s="168"/>
      <c r="D17" s="168"/>
      <c r="E17" s="168"/>
      <c r="F17" s="168"/>
      <c r="G17" s="168"/>
      <c r="H17" s="168"/>
      <c r="I17" s="168"/>
    </row>
    <row r="18" spans="1:14" ht="18" x14ac:dyDescent="0.35">
      <c r="A18" s="356" t="s">
        <v>598</v>
      </c>
      <c r="B18" s="356"/>
      <c r="C18" s="356"/>
      <c r="D18" s="356"/>
      <c r="E18" s="356"/>
      <c r="F18" s="356"/>
      <c r="G18" s="356"/>
      <c r="H18" s="356"/>
      <c r="I18" s="356"/>
    </row>
    <row r="19" spans="1:14" x14ac:dyDescent="0.35">
      <c r="A19" s="354" t="s">
        <v>754</v>
      </c>
      <c r="B19" s="355"/>
      <c r="C19" s="355"/>
      <c r="D19" s="355"/>
      <c r="E19" s="355"/>
      <c r="F19" s="355"/>
      <c r="G19" s="355"/>
      <c r="H19" s="355"/>
      <c r="I19" s="355"/>
    </row>
    <row r="20" spans="1:14" x14ac:dyDescent="0.35">
      <c r="A20" s="355"/>
      <c r="B20" s="355"/>
      <c r="C20" s="355"/>
      <c r="D20" s="355"/>
      <c r="E20" s="355"/>
      <c r="F20" s="355"/>
      <c r="G20" s="355"/>
      <c r="H20" s="355"/>
      <c r="I20" s="355"/>
    </row>
    <row r="21" spans="1:14" x14ac:dyDescent="0.35">
      <c r="A21" s="355"/>
      <c r="B21" s="355"/>
      <c r="C21" s="355"/>
      <c r="D21" s="355"/>
      <c r="E21" s="355"/>
      <c r="F21" s="355"/>
      <c r="G21" s="355"/>
      <c r="H21" s="355"/>
      <c r="I21" s="355"/>
    </row>
    <row r="22" spans="1:14" x14ac:dyDescent="0.35">
      <c r="A22" s="169"/>
      <c r="B22" s="169"/>
      <c r="C22" s="169"/>
      <c r="D22" s="169"/>
      <c r="E22" s="169"/>
      <c r="F22" s="169"/>
      <c r="G22" s="169"/>
      <c r="H22" s="169"/>
      <c r="I22" s="169"/>
    </row>
    <row r="23" spans="1:14" ht="18" x14ac:dyDescent="0.35">
      <c r="A23" s="356" t="s">
        <v>270</v>
      </c>
      <c r="B23" s="356"/>
      <c r="C23" s="356"/>
      <c r="D23" s="356"/>
      <c r="E23" s="356"/>
      <c r="F23" s="356"/>
      <c r="G23" s="356"/>
      <c r="H23" s="356"/>
      <c r="I23" s="356"/>
    </row>
    <row r="24" spans="1:14" x14ac:dyDescent="0.35">
      <c r="A24" s="357" t="s">
        <v>271</v>
      </c>
      <c r="B24" s="357"/>
      <c r="C24" s="357"/>
      <c r="D24" s="357"/>
      <c r="E24" s="357"/>
      <c r="F24" s="357"/>
      <c r="G24" s="357"/>
      <c r="H24" s="357"/>
      <c r="I24" s="357"/>
    </row>
    <row r="25" spans="1:14" x14ac:dyDescent="0.35">
      <c r="A25" s="357"/>
      <c r="B25" s="357"/>
      <c r="C25" s="357"/>
      <c r="D25" s="357"/>
      <c r="E25" s="357"/>
      <c r="F25" s="357"/>
      <c r="G25" s="357"/>
      <c r="H25" s="357"/>
      <c r="I25" s="357"/>
    </row>
    <row r="26" spans="1:14" x14ac:dyDescent="0.35">
      <c r="A26" s="357"/>
      <c r="B26" s="357"/>
      <c r="C26" s="357"/>
      <c r="D26" s="357"/>
      <c r="E26" s="357"/>
      <c r="F26" s="357"/>
      <c r="G26" s="357"/>
      <c r="H26" s="357"/>
      <c r="I26" s="357"/>
      <c r="N26" t="s">
        <v>36</v>
      </c>
    </row>
    <row r="27" spans="1:14" x14ac:dyDescent="0.35">
      <c r="A27" s="357"/>
      <c r="B27" s="357"/>
      <c r="C27" s="357"/>
      <c r="D27" s="357"/>
      <c r="E27" s="357"/>
      <c r="F27" s="357"/>
      <c r="G27" s="357"/>
      <c r="H27" s="357"/>
      <c r="I27" s="357"/>
    </row>
    <row r="28" spans="1:14" x14ac:dyDescent="0.35">
      <c r="A28" s="357"/>
      <c r="B28" s="357"/>
      <c r="C28" s="357"/>
      <c r="D28" s="357"/>
      <c r="E28" s="357"/>
      <c r="F28" s="357"/>
      <c r="G28" s="357"/>
      <c r="H28" s="357"/>
      <c r="I28" s="357"/>
    </row>
    <row r="29" spans="1:14" x14ac:dyDescent="0.35">
      <c r="A29" s="357"/>
      <c r="B29" s="357"/>
      <c r="C29" s="357"/>
      <c r="D29" s="357"/>
      <c r="E29" s="357"/>
      <c r="F29" s="357"/>
      <c r="G29" s="357"/>
      <c r="H29" s="357"/>
      <c r="I29" s="357"/>
    </row>
    <row r="30" spans="1:14" x14ac:dyDescent="0.35">
      <c r="A30" s="357"/>
      <c r="B30" s="357"/>
      <c r="C30" s="357"/>
      <c r="D30" s="357"/>
      <c r="E30" s="357"/>
      <c r="F30" s="357"/>
      <c r="G30" s="357"/>
      <c r="H30" s="357"/>
      <c r="I30" s="357"/>
    </row>
    <row r="31" spans="1:14" x14ac:dyDescent="0.35">
      <c r="A31" s="357"/>
      <c r="B31" s="357"/>
      <c r="C31" s="357"/>
      <c r="D31" s="357"/>
      <c r="E31" s="357"/>
      <c r="F31" s="357"/>
      <c r="G31" s="357"/>
      <c r="H31" s="357"/>
      <c r="I31" s="357"/>
    </row>
    <row r="32" spans="1:14" x14ac:dyDescent="0.35">
      <c r="A32" s="357"/>
      <c r="B32" s="357"/>
      <c r="C32" s="357"/>
      <c r="D32" s="357"/>
      <c r="E32" s="357"/>
      <c r="F32" s="357"/>
      <c r="G32" s="357"/>
      <c r="H32" s="357"/>
      <c r="I32" s="357"/>
    </row>
    <row r="33" spans="1:9" x14ac:dyDescent="0.35">
      <c r="A33" s="357"/>
      <c r="B33" s="357"/>
      <c r="C33" s="357"/>
      <c r="D33" s="357"/>
      <c r="E33" s="357"/>
      <c r="F33" s="357"/>
      <c r="G33" s="357"/>
      <c r="H33" s="357"/>
      <c r="I33" s="357"/>
    </row>
    <row r="34" spans="1:9" x14ac:dyDescent="0.35">
      <c r="A34" s="357"/>
      <c r="B34" s="357"/>
      <c r="C34" s="357"/>
      <c r="D34" s="357"/>
      <c r="E34" s="357"/>
      <c r="F34" s="357"/>
      <c r="G34" s="357"/>
      <c r="H34" s="357"/>
      <c r="I34" s="357"/>
    </row>
  </sheetData>
  <mergeCells count="10">
    <mergeCell ref="A19:I21"/>
    <mergeCell ref="A23:I23"/>
    <mergeCell ref="A24:I34"/>
    <mergeCell ref="A1:I1"/>
    <mergeCell ref="A6:I7"/>
    <mergeCell ref="A12:I13"/>
    <mergeCell ref="A15:I16"/>
    <mergeCell ref="A18:I18"/>
    <mergeCell ref="A3:I4"/>
    <mergeCell ref="A9:I10"/>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A0674-BAB5-4F63-8FF5-15551A382A8C}">
  <sheetPr>
    <tabColor theme="8"/>
  </sheetPr>
  <dimension ref="A1:V678"/>
  <sheetViews>
    <sheetView showGridLines="0" zoomScaleNormal="100" workbookViewId="0"/>
  </sheetViews>
  <sheetFormatPr defaultColWidth="9.1796875" defaultRowHeight="12.5" outlineLevelRow="1" x14ac:dyDescent="0.25"/>
  <cols>
    <col min="1" max="1" width="11.453125" style="196" customWidth="1"/>
    <col min="2" max="2" width="25" style="196" customWidth="1"/>
    <col min="3" max="5" width="18.81640625" style="196" customWidth="1"/>
    <col min="6" max="7" width="18.81640625" style="197" customWidth="1"/>
    <col min="8" max="10" width="18.81640625" style="196" customWidth="1"/>
    <col min="11" max="11" width="1.81640625" style="196" customWidth="1"/>
    <col min="12" max="12" width="2.453125" style="196" customWidth="1"/>
    <col min="13" max="13" width="21.1796875" style="196" customWidth="1"/>
    <col min="14" max="15" width="11.54296875" style="196" customWidth="1"/>
    <col min="16" max="16" width="15.453125" style="196" customWidth="1"/>
    <col min="17" max="17" width="15.453125" style="196" bestFit="1" customWidth="1"/>
    <col min="18" max="18" width="10.453125" style="196" customWidth="1"/>
    <col min="19" max="19" width="12.1796875" style="196" customWidth="1"/>
    <col min="20" max="21" width="11.54296875" style="196" customWidth="1"/>
    <col min="22" max="22" width="11.453125" style="196" bestFit="1" customWidth="1"/>
    <col min="23" max="23" width="11" style="196" customWidth="1"/>
    <col min="24" max="24" width="12.81640625" style="196" customWidth="1"/>
    <col min="25" max="25" width="12.1796875" style="196" customWidth="1"/>
    <col min="26" max="26" width="11" style="196" customWidth="1"/>
    <col min="27" max="27" width="9.1796875" style="196"/>
    <col min="28" max="31" width="12.1796875" style="196" customWidth="1"/>
    <col min="32" max="32" width="9.1796875" style="196"/>
    <col min="33" max="33" width="15.54296875" style="196" customWidth="1"/>
    <col min="34" max="36" width="14.81640625" style="196" bestFit="1" customWidth="1"/>
    <col min="37" max="16384" width="9.1796875" style="196"/>
  </cols>
  <sheetData>
    <row r="1" spans="1:22" ht="15" x14ac:dyDescent="0.3">
      <c r="B1" s="231"/>
      <c r="F1" s="286" t="s">
        <v>597</v>
      </c>
      <c r="G1" s="208"/>
      <c r="H1" s="232"/>
      <c r="I1" s="198"/>
      <c r="J1" s="198"/>
      <c r="K1" s="198"/>
      <c r="L1" s="198"/>
      <c r="M1" s="198"/>
      <c r="N1" s="198"/>
      <c r="O1" s="198"/>
      <c r="P1" s="198"/>
      <c r="Q1" s="198"/>
      <c r="R1" s="198"/>
      <c r="S1" s="198"/>
      <c r="T1" s="198"/>
      <c r="U1" s="198"/>
      <c r="V1" s="198"/>
    </row>
    <row r="2" spans="1:22" ht="15" x14ac:dyDescent="0.3">
      <c r="F2" s="286" t="s">
        <v>601</v>
      </c>
      <c r="G2" s="208"/>
    </row>
    <row r="4" spans="1:22" ht="15" x14ac:dyDescent="0.3">
      <c r="A4" s="216" t="s">
        <v>305</v>
      </c>
      <c r="B4" s="199"/>
    </row>
    <row r="5" spans="1:22" ht="25" outlineLevel="1" x14ac:dyDescent="0.25">
      <c r="B5" s="200" t="s">
        <v>3</v>
      </c>
      <c r="C5" s="201" t="s">
        <v>40</v>
      </c>
      <c r="D5" s="202" t="s">
        <v>44</v>
      </c>
      <c r="E5" s="202" t="s">
        <v>78</v>
      </c>
      <c r="F5" s="202" t="s">
        <v>41</v>
      </c>
      <c r="G5" s="203" t="s">
        <v>42</v>
      </c>
    </row>
    <row r="6" spans="1:22" outlineLevel="1" x14ac:dyDescent="0.25">
      <c r="A6" s="198"/>
      <c r="B6" s="204" t="s">
        <v>22</v>
      </c>
      <c r="C6" s="205">
        <v>3400.8</v>
      </c>
      <c r="D6" s="205">
        <v>10202.400000000001</v>
      </c>
      <c r="E6" s="205">
        <v>17004</v>
      </c>
      <c r="F6" s="205">
        <v>14817.153487500002</v>
      </c>
      <c r="G6" s="205">
        <v>3086.9069765625004</v>
      </c>
    </row>
    <row r="7" spans="1:22" outlineLevel="1" x14ac:dyDescent="0.25">
      <c r="B7" s="204" t="s">
        <v>23</v>
      </c>
      <c r="C7" s="205">
        <v>4128.8</v>
      </c>
      <c r="D7" s="205">
        <v>12386.400000000001</v>
      </c>
      <c r="E7" s="205">
        <v>20644</v>
      </c>
      <c r="F7" s="205">
        <v>14817.153487500002</v>
      </c>
      <c r="G7" s="205">
        <v>3086.9069765625004</v>
      </c>
    </row>
    <row r="8" spans="1:22" outlineLevel="1" x14ac:dyDescent="0.25">
      <c r="B8" s="204" t="s">
        <v>24</v>
      </c>
      <c r="C8" s="205">
        <v>2776.8</v>
      </c>
      <c r="D8" s="205">
        <v>8330.4000000000015</v>
      </c>
      <c r="E8" s="205">
        <v>13884</v>
      </c>
      <c r="F8" s="205">
        <v>14817.153487500002</v>
      </c>
      <c r="G8" s="205">
        <v>3086.9069765625004</v>
      </c>
    </row>
    <row r="9" spans="1:22" outlineLevel="1" x14ac:dyDescent="0.25">
      <c r="B9" s="204" t="s">
        <v>25</v>
      </c>
      <c r="C9" s="205">
        <v>3640</v>
      </c>
      <c r="D9" s="205">
        <v>10920</v>
      </c>
      <c r="E9" s="205">
        <v>18200</v>
      </c>
      <c r="F9" s="205">
        <v>14817.153487500002</v>
      </c>
      <c r="G9" s="205">
        <v>3086.9069765625004</v>
      </c>
    </row>
    <row r="10" spans="1:22" outlineLevel="1" x14ac:dyDescent="0.25">
      <c r="B10" s="204" t="s">
        <v>26</v>
      </c>
      <c r="C10" s="205">
        <v>3920.8</v>
      </c>
      <c r="D10" s="205">
        <v>11762.400000000001</v>
      </c>
      <c r="E10" s="205">
        <v>19604</v>
      </c>
      <c r="F10" s="205">
        <v>14817.153487500002</v>
      </c>
      <c r="G10" s="205">
        <v>3086.9069765625004</v>
      </c>
    </row>
    <row r="11" spans="1:22" outlineLevel="1" x14ac:dyDescent="0.25">
      <c r="B11" s="204" t="s">
        <v>27</v>
      </c>
      <c r="C11" s="205">
        <v>3494.4</v>
      </c>
      <c r="D11" s="205">
        <v>10483.200000000001</v>
      </c>
      <c r="E11" s="205">
        <v>17472</v>
      </c>
      <c r="F11" s="205">
        <v>14817.153487500002</v>
      </c>
      <c r="G11" s="205">
        <v>3086.9069765625004</v>
      </c>
    </row>
    <row r="12" spans="1:22" outlineLevel="1" x14ac:dyDescent="0.25">
      <c r="B12" s="204" t="s">
        <v>28</v>
      </c>
      <c r="C12" s="205">
        <v>3088.8</v>
      </c>
      <c r="D12" s="205">
        <v>9266.4000000000015</v>
      </c>
      <c r="E12" s="205">
        <v>15444</v>
      </c>
      <c r="F12" s="205">
        <v>14817.153487500002</v>
      </c>
      <c r="G12" s="205">
        <v>3086.9069765625004</v>
      </c>
    </row>
    <row r="13" spans="1:22" outlineLevel="1" x14ac:dyDescent="0.25">
      <c r="B13" s="204" t="s">
        <v>29</v>
      </c>
      <c r="C13" s="205">
        <v>2298.4</v>
      </c>
      <c r="D13" s="205">
        <v>6895.2000000000007</v>
      </c>
      <c r="E13" s="205">
        <v>11492</v>
      </c>
      <c r="F13" s="205">
        <v>14817.153487500002</v>
      </c>
      <c r="G13" s="205">
        <v>10310.26930171875</v>
      </c>
    </row>
    <row r="14" spans="1:22" outlineLevel="1" x14ac:dyDescent="0.25">
      <c r="B14" s="204" t="s">
        <v>30</v>
      </c>
      <c r="C14" s="205">
        <v>3244.8</v>
      </c>
      <c r="D14" s="205">
        <v>9734.4000000000015</v>
      </c>
      <c r="E14" s="205">
        <v>16224</v>
      </c>
      <c r="F14" s="205">
        <v>14817.153487500002</v>
      </c>
      <c r="G14" s="205">
        <v>3086.9069765625004</v>
      </c>
    </row>
    <row r="15" spans="1:22" outlineLevel="1" x14ac:dyDescent="0.25">
      <c r="B15" s="204" t="s">
        <v>31</v>
      </c>
      <c r="C15" s="205">
        <v>2756</v>
      </c>
      <c r="D15" s="205">
        <v>8268</v>
      </c>
      <c r="E15" s="205">
        <v>13780</v>
      </c>
      <c r="F15" s="205">
        <v>14817.153487500002</v>
      </c>
      <c r="G15" s="205">
        <v>3086.9069765625004</v>
      </c>
    </row>
    <row r="16" spans="1:22" outlineLevel="1" x14ac:dyDescent="0.25">
      <c r="B16" s="204" t="s">
        <v>32</v>
      </c>
      <c r="C16" s="205">
        <v>925.6</v>
      </c>
      <c r="D16" s="205">
        <v>2776.8</v>
      </c>
      <c r="E16" s="205">
        <v>4628</v>
      </c>
      <c r="F16" s="205">
        <v>14817.153487500002</v>
      </c>
      <c r="G16" s="205">
        <v>3086.9069765625004</v>
      </c>
    </row>
    <row r="17" spans="1:10" outlineLevel="1" x14ac:dyDescent="0.25">
      <c r="B17" s="204" t="s">
        <v>33</v>
      </c>
      <c r="C17" s="205">
        <v>1092</v>
      </c>
      <c r="D17" s="205">
        <v>3276</v>
      </c>
      <c r="E17" s="205">
        <v>5460</v>
      </c>
      <c r="F17" s="205">
        <v>14817.153487500002</v>
      </c>
      <c r="G17" s="205">
        <v>5155.1346508593751</v>
      </c>
    </row>
    <row r="18" spans="1:10" outlineLevel="1" x14ac:dyDescent="0.25">
      <c r="B18" s="204" t="s">
        <v>34</v>
      </c>
      <c r="C18" s="205">
        <v>1320.8</v>
      </c>
      <c r="D18" s="205">
        <v>3962.3999999999996</v>
      </c>
      <c r="E18" s="205">
        <v>6604</v>
      </c>
      <c r="F18" s="205">
        <v>14817.153487500002</v>
      </c>
      <c r="G18" s="205">
        <v>4136.4553485937504</v>
      </c>
    </row>
    <row r="19" spans="1:10" outlineLevel="1" x14ac:dyDescent="0.25">
      <c r="B19" s="204" t="s">
        <v>4</v>
      </c>
      <c r="C19" s="205">
        <v>2288</v>
      </c>
      <c r="D19" s="205">
        <v>6864</v>
      </c>
      <c r="E19" s="205">
        <v>11440</v>
      </c>
      <c r="F19" s="205">
        <v>14817.153487500002</v>
      </c>
      <c r="G19" s="205">
        <v>3086.9069765625004</v>
      </c>
    </row>
    <row r="20" spans="1:10" outlineLevel="1" x14ac:dyDescent="0.25">
      <c r="B20" s="204" t="s">
        <v>35</v>
      </c>
      <c r="C20" s="205">
        <v>3328</v>
      </c>
      <c r="D20" s="205">
        <v>9984</v>
      </c>
      <c r="E20" s="205">
        <v>16640</v>
      </c>
      <c r="F20" s="205">
        <v>14817.153487500002</v>
      </c>
      <c r="G20" s="205">
        <v>10310.26930171875</v>
      </c>
    </row>
    <row r="21" spans="1:10" x14ac:dyDescent="0.25">
      <c r="F21" s="196"/>
      <c r="G21" s="196"/>
    </row>
    <row r="22" spans="1:10" ht="15.5" thickBot="1" x14ac:dyDescent="0.35">
      <c r="A22" s="216" t="s">
        <v>602</v>
      </c>
      <c r="F22" s="206"/>
      <c r="G22" s="206"/>
      <c r="H22" s="206"/>
      <c r="I22" s="206"/>
      <c r="J22" s="206"/>
    </row>
    <row r="23" spans="1:10" ht="13" outlineLevel="1" thickBot="1" x14ac:dyDescent="0.3">
      <c r="A23" s="199"/>
      <c r="B23" s="212" t="s">
        <v>299</v>
      </c>
      <c r="C23" s="213" t="s">
        <v>70</v>
      </c>
      <c r="D23" s="213" t="s">
        <v>71</v>
      </c>
      <c r="E23" s="213" t="s">
        <v>72</v>
      </c>
      <c r="F23" s="213" t="s">
        <v>73</v>
      </c>
      <c r="G23" s="213" t="s">
        <v>74</v>
      </c>
      <c r="H23" s="213" t="s">
        <v>75</v>
      </c>
      <c r="I23" s="213" t="s">
        <v>76</v>
      </c>
      <c r="J23" s="213" t="s">
        <v>272</v>
      </c>
    </row>
    <row r="24" spans="1:10" ht="13.75" customHeight="1" outlineLevel="1" thickBot="1" x14ac:dyDescent="0.3">
      <c r="B24" s="317" t="s">
        <v>298</v>
      </c>
      <c r="C24" s="318"/>
      <c r="D24" s="318"/>
      <c r="E24" s="318"/>
      <c r="F24" s="318"/>
      <c r="G24" s="318"/>
      <c r="H24" s="318"/>
      <c r="I24" s="318"/>
      <c r="J24" s="209"/>
    </row>
    <row r="25" spans="1:10" ht="13" outlineLevel="1" thickBot="1" x14ac:dyDescent="0.3">
      <c r="B25" s="210" t="s">
        <v>300</v>
      </c>
      <c r="C25" s="194">
        <v>7000</v>
      </c>
      <c r="D25" s="194">
        <v>7900</v>
      </c>
      <c r="E25" s="194">
        <v>8400</v>
      </c>
      <c r="F25" s="194">
        <v>9300</v>
      </c>
      <c r="G25" s="194">
        <v>11100</v>
      </c>
      <c r="H25" s="194">
        <v>22300</v>
      </c>
      <c r="I25" s="194">
        <v>35100</v>
      </c>
      <c r="J25" s="194">
        <v>52800</v>
      </c>
    </row>
    <row r="26" spans="1:10" ht="13.75" customHeight="1" outlineLevel="1" thickBot="1" x14ac:dyDescent="0.3">
      <c r="B26" s="210" t="s">
        <v>83</v>
      </c>
      <c r="C26" s="194">
        <v>5.5</v>
      </c>
      <c r="D26" s="194">
        <v>6</v>
      </c>
      <c r="E26" s="194">
        <v>8</v>
      </c>
      <c r="F26" s="194">
        <v>9</v>
      </c>
      <c r="G26" s="194">
        <v>13</v>
      </c>
      <c r="H26" s="194">
        <v>21</v>
      </c>
      <c r="I26" s="194">
        <v>41</v>
      </c>
      <c r="J26" s="194">
        <v>60</v>
      </c>
    </row>
    <row r="27" spans="1:10" ht="13" outlineLevel="1" thickBot="1" x14ac:dyDescent="0.3">
      <c r="B27" s="210" t="s">
        <v>84</v>
      </c>
      <c r="C27" s="195">
        <v>19252.106370000005</v>
      </c>
      <c r="D27" s="195">
        <v>21727.377189000006</v>
      </c>
      <c r="E27" s="195">
        <v>23102.527644000005</v>
      </c>
      <c r="F27" s="195">
        <v>25577.798463000006</v>
      </c>
      <c r="G27" s="195">
        <v>30528.340101000005</v>
      </c>
      <c r="H27" s="195">
        <v>61331.710293000011</v>
      </c>
      <c r="I27" s="195">
        <v>96535.561941000022</v>
      </c>
      <c r="J27" s="195">
        <v>145217.11586090628</v>
      </c>
    </row>
    <row r="28" spans="1:10" ht="13" outlineLevel="1" thickBot="1" x14ac:dyDescent="0.3">
      <c r="B28" s="210" t="s">
        <v>85</v>
      </c>
      <c r="C28" s="195">
        <v>24927.845276250006</v>
      </c>
      <c r="D28" s="195">
        <v>28132.853954625007</v>
      </c>
      <c r="E28" s="195">
        <v>29913.414331500007</v>
      </c>
      <c r="F28" s="195">
        <v>33118.423009875005</v>
      </c>
      <c r="G28" s="195">
        <v>39528.440366625007</v>
      </c>
      <c r="H28" s="195">
        <v>79412.992808625015</v>
      </c>
      <c r="I28" s="195">
        <v>124677.38124646878</v>
      </c>
      <c r="J28" s="195">
        <v>188026.11594063285</v>
      </c>
    </row>
    <row r="29" spans="1:10" ht="13" outlineLevel="1" thickBot="1" x14ac:dyDescent="0.3">
      <c r="B29" s="210" t="s">
        <v>86</v>
      </c>
      <c r="C29" s="195">
        <v>4973.9859146250001</v>
      </c>
      <c r="D29" s="195">
        <v>5802.7827926250002</v>
      </c>
      <c r="E29" s="195">
        <v>6218.3858782500001</v>
      </c>
      <c r="F29" s="195">
        <v>7047.1827562500002</v>
      </c>
      <c r="G29" s="195">
        <v>8289.1734266250005</v>
      </c>
      <c r="H29" s="195">
        <v>11091.181476375001</v>
      </c>
      <c r="I29" s="195">
        <v>12142.83798</v>
      </c>
      <c r="J29" s="195">
        <v>24365.18263725</v>
      </c>
    </row>
    <row r="30" spans="1:10" ht="13" outlineLevel="1" thickBot="1" x14ac:dyDescent="0.3">
      <c r="B30" s="210" t="s">
        <v>87</v>
      </c>
      <c r="C30" s="195">
        <v>8898.7246188750014</v>
      </c>
      <c r="D30" s="195">
        <v>9707.042504250001</v>
      </c>
      <c r="E30" s="195">
        <v>12942.723339</v>
      </c>
      <c r="F30" s="195">
        <v>14560.563756375001</v>
      </c>
      <c r="G30" s="195">
        <v>21031.925425875001</v>
      </c>
      <c r="H30" s="195">
        <v>33974.648764875004</v>
      </c>
      <c r="I30" s="195">
        <v>66331.457112375007</v>
      </c>
      <c r="J30" s="195">
        <v>97069.220395875003</v>
      </c>
    </row>
    <row r="31" spans="1:10" ht="13.75" customHeight="1" outlineLevel="1" thickBot="1" x14ac:dyDescent="0.3">
      <c r="B31" s="317" t="s">
        <v>301</v>
      </c>
      <c r="C31" s="318"/>
      <c r="D31" s="318"/>
      <c r="E31" s="318"/>
      <c r="F31" s="318"/>
      <c r="G31" s="318"/>
      <c r="H31" s="318"/>
      <c r="I31" s="318"/>
      <c r="J31" s="209"/>
    </row>
    <row r="32" spans="1:10" ht="13" outlineLevel="1" thickBot="1" x14ac:dyDescent="0.3">
      <c r="B32" s="210" t="s">
        <v>300</v>
      </c>
      <c r="C32" s="194">
        <v>11600</v>
      </c>
      <c r="D32" s="194">
        <v>13000</v>
      </c>
      <c r="E32" s="194">
        <v>13900</v>
      </c>
      <c r="F32" s="194">
        <v>15300</v>
      </c>
      <c r="G32" s="194">
        <v>18300</v>
      </c>
      <c r="H32" s="194">
        <v>37900</v>
      </c>
      <c r="I32" s="194">
        <v>59700</v>
      </c>
      <c r="J32" s="194">
        <v>149000</v>
      </c>
    </row>
    <row r="33" spans="2:10" ht="13" outlineLevel="1" thickBot="1" x14ac:dyDescent="0.3">
      <c r="B33" s="210" t="s">
        <v>83</v>
      </c>
      <c r="C33" s="194">
        <v>9</v>
      </c>
      <c r="D33" s="194">
        <v>10.5</v>
      </c>
      <c r="E33" s="194">
        <v>13</v>
      </c>
      <c r="F33" s="194">
        <v>14</v>
      </c>
      <c r="G33" s="194">
        <v>19.5</v>
      </c>
      <c r="H33" s="194">
        <v>30</v>
      </c>
      <c r="I33" s="194">
        <v>54.5</v>
      </c>
      <c r="J33" s="194">
        <v>85</v>
      </c>
    </row>
    <row r="34" spans="2:10" ht="13" outlineLevel="1" thickBot="1" x14ac:dyDescent="0.3">
      <c r="B34" s="210" t="s">
        <v>84</v>
      </c>
      <c r="C34" s="195">
        <v>31903.490556000008</v>
      </c>
      <c r="D34" s="195">
        <v>35753.911830000005</v>
      </c>
      <c r="E34" s="195">
        <v>38229.182649000009</v>
      </c>
      <c r="F34" s="195">
        <v>42079.60392300001</v>
      </c>
      <c r="G34" s="195">
        <v>50330.506653000011</v>
      </c>
      <c r="H34" s="195">
        <v>104236.40448900002</v>
      </c>
      <c r="I34" s="195">
        <v>164192.96432700002</v>
      </c>
      <c r="J34" s="195">
        <v>409798.51902871882</v>
      </c>
    </row>
    <row r="35" spans="2:10" ht="13" outlineLevel="1" thickBot="1" x14ac:dyDescent="0.3">
      <c r="B35" s="210" t="s">
        <v>85</v>
      </c>
      <c r="C35" s="195">
        <v>41309.000743500008</v>
      </c>
      <c r="D35" s="195">
        <v>46294.56979875001</v>
      </c>
      <c r="E35" s="195">
        <v>49499.578477125011</v>
      </c>
      <c r="F35" s="195">
        <v>54485.147532375013</v>
      </c>
      <c r="G35" s="195">
        <v>65168.509793625017</v>
      </c>
      <c r="H35" s="195">
        <v>134966.47656712504</v>
      </c>
      <c r="I35" s="195">
        <v>212598.90899887503</v>
      </c>
      <c r="J35" s="195">
        <v>530603.8127366486</v>
      </c>
    </row>
    <row r="36" spans="2:10" ht="13" outlineLevel="1" thickBot="1" x14ac:dyDescent="0.3">
      <c r="B36" s="210" t="s">
        <v>86</v>
      </c>
      <c r="C36" s="195">
        <v>4973.9859146250001</v>
      </c>
      <c r="D36" s="195">
        <v>5802.7827926250002</v>
      </c>
      <c r="E36" s="195">
        <v>6218.3858782500001</v>
      </c>
      <c r="F36" s="195">
        <v>7047.1827562500002</v>
      </c>
      <c r="G36" s="195">
        <v>8289.1734266250005</v>
      </c>
      <c r="H36" s="195">
        <v>11091.181476375001</v>
      </c>
      <c r="I36" s="195">
        <v>12142.83798</v>
      </c>
      <c r="J36" s="195">
        <v>24365.18263725</v>
      </c>
    </row>
    <row r="37" spans="2:10" ht="13" outlineLevel="1" thickBot="1" x14ac:dyDescent="0.3">
      <c r="B37" s="210" t="s">
        <v>87</v>
      </c>
      <c r="C37" s="195">
        <v>14560.563756375001</v>
      </c>
      <c r="D37" s="195">
        <v>16987.92670575</v>
      </c>
      <c r="E37" s="195">
        <v>21031.925425875001</v>
      </c>
      <c r="F37" s="195">
        <v>22649.765843250003</v>
      </c>
      <c r="G37" s="195">
        <v>31548.490462125003</v>
      </c>
      <c r="H37" s="195">
        <v>48535.212521250003</v>
      </c>
      <c r="I37" s="195">
        <v>88172.90507025001</v>
      </c>
      <c r="J37" s="195">
        <v>137514.02618362501</v>
      </c>
    </row>
    <row r="38" spans="2:10" ht="13.75" customHeight="1" outlineLevel="1" thickBot="1" x14ac:dyDescent="0.3">
      <c r="B38" s="317" t="s">
        <v>302</v>
      </c>
      <c r="C38" s="318"/>
      <c r="D38" s="318"/>
      <c r="E38" s="318"/>
      <c r="F38" s="318"/>
      <c r="G38" s="318"/>
      <c r="H38" s="318"/>
      <c r="I38" s="318"/>
      <c r="J38" s="209"/>
    </row>
    <row r="39" spans="2:10" ht="13" outlineLevel="1" thickBot="1" x14ac:dyDescent="0.3">
      <c r="B39" s="210" t="s">
        <v>300</v>
      </c>
      <c r="C39" s="194">
        <v>14000</v>
      </c>
      <c r="D39" s="194">
        <v>15800</v>
      </c>
      <c r="E39" s="194">
        <v>16800</v>
      </c>
      <c r="F39" s="194">
        <v>18600</v>
      </c>
      <c r="G39" s="194">
        <v>22200</v>
      </c>
      <c r="H39" s="194">
        <v>42400</v>
      </c>
      <c r="I39" s="194">
        <v>66700</v>
      </c>
      <c r="J39" s="194">
        <v>154675</v>
      </c>
    </row>
    <row r="40" spans="2:10" ht="13" outlineLevel="1" thickBot="1" x14ac:dyDescent="0.3">
      <c r="B40" s="210" t="s">
        <v>83</v>
      </c>
      <c r="C40" s="194">
        <v>11</v>
      </c>
      <c r="D40" s="194">
        <v>12</v>
      </c>
      <c r="E40" s="194">
        <v>15</v>
      </c>
      <c r="F40" s="194">
        <v>16.5</v>
      </c>
      <c r="G40" s="194">
        <v>22.5</v>
      </c>
      <c r="H40" s="194">
        <v>33.5</v>
      </c>
      <c r="I40" s="194">
        <v>60</v>
      </c>
      <c r="J40" s="194">
        <v>160</v>
      </c>
    </row>
    <row r="41" spans="2:10" ht="13" outlineLevel="1" thickBot="1" x14ac:dyDescent="0.3">
      <c r="B41" s="210" t="s">
        <v>84</v>
      </c>
      <c r="C41" s="195">
        <v>38504.21274000001</v>
      </c>
      <c r="D41" s="195">
        <v>43454.754378000012</v>
      </c>
      <c r="E41" s="195">
        <v>46205.05528800001</v>
      </c>
      <c r="F41" s="195">
        <v>51155.596926000013</v>
      </c>
      <c r="G41" s="195">
        <v>61056.68020200001</v>
      </c>
      <c r="H41" s="195">
        <v>116612.75858400002</v>
      </c>
      <c r="I41" s="195">
        <v>183445.07069700005</v>
      </c>
      <c r="J41" s="195">
        <v>425406.47669296886</v>
      </c>
    </row>
    <row r="42" spans="2:10" ht="13" outlineLevel="1" thickBot="1" x14ac:dyDescent="0.3">
      <c r="B42" s="210" t="s">
        <v>85</v>
      </c>
      <c r="C42" s="195">
        <v>49855.690552500011</v>
      </c>
      <c r="D42" s="195">
        <v>56265.707909250013</v>
      </c>
      <c r="E42" s="195">
        <v>59826.828663000015</v>
      </c>
      <c r="F42" s="195">
        <v>66236.84601975001</v>
      </c>
      <c r="G42" s="195">
        <v>79056.880733250015</v>
      </c>
      <c r="H42" s="195">
        <v>150991.51995900003</v>
      </c>
      <c r="I42" s="195">
        <v>237526.75427512504</v>
      </c>
      <c r="J42" s="195">
        <v>550813.1730141798</v>
      </c>
    </row>
    <row r="43" spans="2:10" ht="13" outlineLevel="1" thickBot="1" x14ac:dyDescent="0.3">
      <c r="B43" s="210" t="s">
        <v>86</v>
      </c>
      <c r="C43" s="195">
        <v>9807.0281741250001</v>
      </c>
      <c r="D43" s="195">
        <v>11441.73364425</v>
      </c>
      <c r="E43" s="195">
        <v>12259.688702625001</v>
      </c>
      <c r="F43" s="195">
        <v>13893.189526125001</v>
      </c>
      <c r="G43" s="195">
        <v>16345.850054625002</v>
      </c>
      <c r="H43" s="195">
        <v>39865.370761124999</v>
      </c>
      <c r="I43" s="195">
        <v>62710.289357625006</v>
      </c>
      <c r="J43" s="195">
        <v>97460.730549</v>
      </c>
    </row>
    <row r="44" spans="2:10" ht="13" outlineLevel="1" thickBot="1" x14ac:dyDescent="0.3">
      <c r="B44" s="210" t="s">
        <v>87</v>
      </c>
      <c r="C44" s="195">
        <v>17796.244591125</v>
      </c>
      <c r="D44" s="195">
        <v>19414.085008500002</v>
      </c>
      <c r="E44" s="195">
        <v>24267.606260625002</v>
      </c>
      <c r="F44" s="195">
        <v>26694.969210000003</v>
      </c>
      <c r="G44" s="195">
        <v>36402.011714250002</v>
      </c>
      <c r="H44" s="195">
        <v>54198.256305375005</v>
      </c>
      <c r="I44" s="195">
        <v>97070.425042500006</v>
      </c>
      <c r="J44" s="195">
        <v>258850.85284012501</v>
      </c>
    </row>
    <row r="45" spans="2:10" ht="13.75" customHeight="1" outlineLevel="1" thickBot="1" x14ac:dyDescent="0.3">
      <c r="B45" s="317" t="s">
        <v>303</v>
      </c>
      <c r="C45" s="318"/>
      <c r="D45" s="318"/>
      <c r="E45" s="318"/>
      <c r="F45" s="318"/>
      <c r="G45" s="318"/>
      <c r="H45" s="318"/>
      <c r="I45" s="318"/>
      <c r="J45" s="209"/>
    </row>
    <row r="46" spans="2:10" ht="13" outlineLevel="1" thickBot="1" x14ac:dyDescent="0.3">
      <c r="B46" s="210" t="s">
        <v>300</v>
      </c>
      <c r="C46" s="194">
        <v>20400</v>
      </c>
      <c r="D46" s="194">
        <v>23000</v>
      </c>
      <c r="E46" s="194">
        <v>24500</v>
      </c>
      <c r="F46" s="194">
        <v>27100</v>
      </c>
      <c r="G46" s="194">
        <v>32400</v>
      </c>
      <c r="H46" s="194">
        <v>48100</v>
      </c>
      <c r="I46" s="194">
        <v>80700</v>
      </c>
      <c r="J46" s="194">
        <v>154675</v>
      </c>
    </row>
    <row r="47" spans="2:10" ht="13" outlineLevel="1" thickBot="1" x14ac:dyDescent="0.3">
      <c r="B47" s="210" t="s">
        <v>83</v>
      </c>
      <c r="C47" s="194">
        <v>15</v>
      </c>
      <c r="D47" s="194">
        <v>16.5</v>
      </c>
      <c r="E47" s="194">
        <v>20</v>
      </c>
      <c r="F47" s="194">
        <v>21.5</v>
      </c>
      <c r="G47" s="194">
        <v>29</v>
      </c>
      <c r="H47" s="194">
        <v>41.5</v>
      </c>
      <c r="I47" s="194">
        <v>72</v>
      </c>
      <c r="J47" s="194">
        <v>160</v>
      </c>
    </row>
    <row r="48" spans="2:10" ht="13" outlineLevel="1" thickBot="1" x14ac:dyDescent="0.3">
      <c r="B48" s="210" t="s">
        <v>84</v>
      </c>
      <c r="C48" s="195">
        <v>56106.138564000015</v>
      </c>
      <c r="D48" s="195">
        <v>63256.920930000015</v>
      </c>
      <c r="E48" s="195">
        <v>67382.372295000008</v>
      </c>
      <c r="F48" s="195">
        <v>74533.154661000022</v>
      </c>
      <c r="G48" s="195">
        <v>89109.749484000014</v>
      </c>
      <c r="H48" s="195">
        <v>132289.47377100002</v>
      </c>
      <c r="I48" s="195">
        <v>221949.28343700006</v>
      </c>
      <c r="J48" s="195">
        <v>425406.47669296886</v>
      </c>
    </row>
    <row r="49" spans="1:10" ht="13" outlineLevel="1" thickBot="1" x14ac:dyDescent="0.3">
      <c r="B49" s="210" t="s">
        <v>85</v>
      </c>
      <c r="C49" s="195">
        <v>72646.863376500012</v>
      </c>
      <c r="D49" s="195">
        <v>81905.777336250016</v>
      </c>
      <c r="E49" s="195">
        <v>87247.458466875018</v>
      </c>
      <c r="F49" s="195">
        <v>96506.372426625021</v>
      </c>
      <c r="G49" s="195">
        <v>115380.31242150003</v>
      </c>
      <c r="H49" s="195">
        <v>171289.90825537505</v>
      </c>
      <c r="I49" s="195">
        <v>287382.44482762506</v>
      </c>
      <c r="J49" s="195">
        <v>550813.1730141798</v>
      </c>
    </row>
    <row r="50" spans="1:10" ht="13" outlineLevel="1" thickBot="1" x14ac:dyDescent="0.3">
      <c r="B50" s="210" t="s">
        <v>86</v>
      </c>
      <c r="C50" s="195">
        <v>9807.0281741250001</v>
      </c>
      <c r="D50" s="195">
        <v>11441.73364425</v>
      </c>
      <c r="E50" s="195">
        <v>12259.688702625001</v>
      </c>
      <c r="F50" s="195">
        <v>13893.189526125001</v>
      </c>
      <c r="G50" s="195">
        <v>16345.850054625002</v>
      </c>
      <c r="H50" s="195">
        <v>39865.370761124999</v>
      </c>
      <c r="I50" s="195">
        <v>62710.289357625006</v>
      </c>
      <c r="J50" s="195">
        <v>97460.730549</v>
      </c>
    </row>
    <row r="51" spans="1:10" ht="13" outlineLevel="1" thickBot="1" x14ac:dyDescent="0.3">
      <c r="B51" s="210" t="s">
        <v>87</v>
      </c>
      <c r="C51" s="195">
        <v>24267.606260625002</v>
      </c>
      <c r="D51" s="195">
        <v>26694.969210000003</v>
      </c>
      <c r="E51" s="195">
        <v>32356.808347500002</v>
      </c>
      <c r="F51" s="195">
        <v>34784.171296875</v>
      </c>
      <c r="G51" s="195">
        <v>46917.372103875001</v>
      </c>
      <c r="H51" s="195">
        <v>67140.979644375009</v>
      </c>
      <c r="I51" s="195">
        <v>116484.510051</v>
      </c>
      <c r="J51" s="195">
        <v>258850.85284012501</v>
      </c>
    </row>
    <row r="54" spans="1:10" ht="15.65" customHeight="1" thickBot="1" x14ac:dyDescent="0.35">
      <c r="A54" s="216" t="s">
        <v>306</v>
      </c>
      <c r="B54" s="214"/>
      <c r="C54" s="214"/>
      <c r="D54" s="214"/>
      <c r="E54" s="214"/>
      <c r="F54" s="214"/>
      <c r="G54" s="214"/>
      <c r="H54" s="214"/>
      <c r="I54" s="214"/>
      <c r="J54" s="214"/>
    </row>
    <row r="55" spans="1:10" ht="15.65" customHeight="1" outlineLevel="1" thickBot="1" x14ac:dyDescent="0.3">
      <c r="B55" s="212" t="s">
        <v>299</v>
      </c>
      <c r="C55" s="213" t="s">
        <v>70</v>
      </c>
      <c r="D55" s="213" t="s">
        <v>71</v>
      </c>
      <c r="E55" s="213" t="s">
        <v>72</v>
      </c>
      <c r="F55" s="213" t="s">
        <v>73</v>
      </c>
      <c r="G55" s="213" t="s">
        <v>74</v>
      </c>
      <c r="H55" s="213" t="s">
        <v>75</v>
      </c>
      <c r="I55" s="213" t="s">
        <v>76</v>
      </c>
      <c r="J55" s="213" t="s">
        <v>272</v>
      </c>
    </row>
    <row r="56" spans="1:10" ht="13.75" customHeight="1" outlineLevel="1" thickBot="1" x14ac:dyDescent="0.3">
      <c r="B56" s="317" t="s">
        <v>298</v>
      </c>
      <c r="C56" s="318"/>
      <c r="D56" s="318"/>
      <c r="E56" s="318"/>
      <c r="F56" s="318"/>
      <c r="G56" s="318"/>
      <c r="H56" s="318"/>
      <c r="I56" s="318"/>
      <c r="J56" s="209"/>
    </row>
    <row r="57" spans="1:10" ht="13" outlineLevel="1" thickBot="1" x14ac:dyDescent="0.3">
      <c r="B57" s="210" t="s">
        <v>300</v>
      </c>
      <c r="C57" s="194">
        <v>6100</v>
      </c>
      <c r="D57" s="194">
        <v>6900</v>
      </c>
      <c r="E57" s="194">
        <v>7300</v>
      </c>
      <c r="F57" s="194">
        <v>8100</v>
      </c>
      <c r="G57" s="194">
        <v>10100</v>
      </c>
      <c r="H57" s="194">
        <v>20300</v>
      </c>
      <c r="I57" s="194">
        <v>27000</v>
      </c>
      <c r="J57" s="194">
        <v>34320</v>
      </c>
    </row>
    <row r="58" spans="1:10" ht="13" outlineLevel="1" thickBot="1" x14ac:dyDescent="0.3">
      <c r="B58" s="210" t="s">
        <v>83</v>
      </c>
      <c r="C58" s="194">
        <v>8.5</v>
      </c>
      <c r="D58" s="194">
        <v>11.5</v>
      </c>
      <c r="E58" s="194">
        <v>13.5</v>
      </c>
      <c r="F58" s="194">
        <v>14.5</v>
      </c>
      <c r="G58" s="194">
        <v>15.5</v>
      </c>
      <c r="H58" s="194">
        <v>19.5</v>
      </c>
      <c r="I58" s="194">
        <v>33.5</v>
      </c>
      <c r="J58" s="194">
        <v>39</v>
      </c>
    </row>
    <row r="59" spans="1:10" ht="13" outlineLevel="1" thickBot="1" x14ac:dyDescent="0.3">
      <c r="B59" s="210" t="s">
        <v>84</v>
      </c>
      <c r="C59" s="195">
        <v>14005.661821593752</v>
      </c>
      <c r="D59" s="195">
        <v>15842.469929343753</v>
      </c>
      <c r="E59" s="195">
        <v>16760.873983218753</v>
      </c>
      <c r="F59" s="195">
        <v>18597.682090968756</v>
      </c>
      <c r="G59" s="195">
        <v>23189.702360343756</v>
      </c>
      <c r="H59" s="195">
        <v>46609.005734156264</v>
      </c>
      <c r="I59" s="195">
        <v>61992.273636562517</v>
      </c>
      <c r="J59" s="195">
        <v>94391.800606687524</v>
      </c>
    </row>
    <row r="60" spans="1:10" ht="13.75" customHeight="1" outlineLevel="1" thickBot="1" x14ac:dyDescent="0.3">
      <c r="B60" s="210" t="s">
        <v>85</v>
      </c>
      <c r="C60" s="195">
        <v>18135.219409945315</v>
      </c>
      <c r="D60" s="195">
        <v>20513.539341914067</v>
      </c>
      <c r="E60" s="195">
        <v>21702.699307898441</v>
      </c>
      <c r="F60" s="195">
        <v>24081.019239867193</v>
      </c>
      <c r="G60" s="195">
        <v>30026.819069789068</v>
      </c>
      <c r="H60" s="195">
        <v>60350.398202390636</v>
      </c>
      <c r="I60" s="195">
        <v>80268.297703945325</v>
      </c>
      <c r="J60" s="195">
        <v>122216.3924398594</v>
      </c>
    </row>
    <row r="61" spans="1:10" ht="13" outlineLevel="1" thickBot="1" x14ac:dyDescent="0.3">
      <c r="B61" s="210" t="s">
        <v>86</v>
      </c>
      <c r="C61" s="195">
        <v>4973.9859146250001</v>
      </c>
      <c r="D61" s="195">
        <v>5802.7827926250002</v>
      </c>
      <c r="E61" s="195">
        <v>6218.3858782500001</v>
      </c>
      <c r="F61" s="195">
        <v>7047.1827562500002</v>
      </c>
      <c r="G61" s="195">
        <v>8289.1734266250005</v>
      </c>
      <c r="H61" s="195">
        <v>11091.181476375001</v>
      </c>
      <c r="I61" s="195">
        <v>12142.83798</v>
      </c>
      <c r="J61" s="195">
        <v>24365.18263725</v>
      </c>
    </row>
    <row r="62" spans="1:10" ht="13" outlineLevel="1" thickBot="1" x14ac:dyDescent="0.3">
      <c r="B62" s="210" t="s">
        <v>87</v>
      </c>
      <c r="C62" s="195">
        <v>13752.245871000001</v>
      </c>
      <c r="D62" s="195">
        <v>18605.767123125002</v>
      </c>
      <c r="E62" s="195">
        <v>21841.447957875</v>
      </c>
      <c r="F62" s="195">
        <v>23459.288375250002</v>
      </c>
      <c r="G62" s="195">
        <v>25077.128792625001</v>
      </c>
      <c r="H62" s="195">
        <v>31548.490462125003</v>
      </c>
      <c r="I62" s="195">
        <v>54198.256305375005</v>
      </c>
      <c r="J62" s="195">
        <v>63094.571631000006</v>
      </c>
    </row>
    <row r="63" spans="1:10" ht="13.75" customHeight="1" outlineLevel="1" thickBot="1" x14ac:dyDescent="0.3">
      <c r="B63" s="317" t="s">
        <v>304</v>
      </c>
      <c r="C63" s="318"/>
      <c r="D63" s="318"/>
      <c r="E63" s="318"/>
      <c r="F63" s="318"/>
      <c r="G63" s="318"/>
      <c r="H63" s="318"/>
      <c r="I63" s="318"/>
      <c r="J63" s="209"/>
    </row>
    <row r="64" spans="1:10" ht="13" outlineLevel="1" thickBot="1" x14ac:dyDescent="0.3">
      <c r="B64" s="210" t="s">
        <v>300</v>
      </c>
      <c r="C64" s="194">
        <v>9200</v>
      </c>
      <c r="D64" s="194">
        <v>10400</v>
      </c>
      <c r="E64" s="194">
        <v>11000</v>
      </c>
      <c r="F64" s="194">
        <v>12200</v>
      </c>
      <c r="G64" s="194">
        <v>15200</v>
      </c>
      <c r="H64" s="194">
        <v>30500</v>
      </c>
      <c r="I64" s="194">
        <v>39800</v>
      </c>
      <c r="J64" s="194">
        <v>89400</v>
      </c>
    </row>
    <row r="65" spans="2:10" ht="13" outlineLevel="1" thickBot="1" x14ac:dyDescent="0.3">
      <c r="B65" s="210" t="s">
        <v>83</v>
      </c>
      <c r="C65" s="194">
        <v>16</v>
      </c>
      <c r="D65" s="194">
        <v>19</v>
      </c>
      <c r="E65" s="194">
        <v>19.5</v>
      </c>
      <c r="F65" s="194">
        <v>22</v>
      </c>
      <c r="G65" s="194">
        <v>24.5</v>
      </c>
      <c r="H65" s="194">
        <v>39</v>
      </c>
      <c r="I65" s="194">
        <v>72.5</v>
      </c>
      <c r="J65" s="194">
        <v>81</v>
      </c>
    </row>
    <row r="66" spans="2:10" ht="13" outlineLevel="1" thickBot="1" x14ac:dyDescent="0.3">
      <c r="B66" s="210" t="s">
        <v>84</v>
      </c>
      <c r="C66" s="195">
        <v>21123.293239125003</v>
      </c>
      <c r="D66" s="195">
        <v>23878.505400750004</v>
      </c>
      <c r="E66" s="195">
        <v>25256.111481562504</v>
      </c>
      <c r="F66" s="195">
        <v>28011.323643187505</v>
      </c>
      <c r="G66" s="195">
        <v>34899.35404725001</v>
      </c>
      <c r="H66" s="195">
        <v>70028.309107968773</v>
      </c>
      <c r="I66" s="195">
        <v>91381.203360562518</v>
      </c>
      <c r="J66" s="195">
        <v>245879.35697981255</v>
      </c>
    </row>
    <row r="67" spans="2:10" ht="13" outlineLevel="1" thickBot="1" x14ac:dyDescent="0.3">
      <c r="B67" s="210" t="s">
        <v>85</v>
      </c>
      <c r="C67" s="195">
        <v>27350.679217640631</v>
      </c>
      <c r="D67" s="195">
        <v>30918.159115593757</v>
      </c>
      <c r="E67" s="195">
        <v>32701.89906457032</v>
      </c>
      <c r="F67" s="195">
        <v>36269.378962523442</v>
      </c>
      <c r="G67" s="195">
        <v>45188.078707406261</v>
      </c>
      <c r="H67" s="195">
        <v>90673.977334992203</v>
      </c>
      <c r="I67" s="195">
        <v>118321.41661544534</v>
      </c>
      <c r="J67" s="195">
        <v>318362.07567051571</v>
      </c>
    </row>
    <row r="68" spans="2:10" ht="13" outlineLevel="1" thickBot="1" x14ac:dyDescent="0.3">
      <c r="B68" s="210" t="s">
        <v>86</v>
      </c>
      <c r="C68" s="195">
        <v>4973.9859146250001</v>
      </c>
      <c r="D68" s="195">
        <v>5802.7827926250002</v>
      </c>
      <c r="E68" s="195">
        <v>6218.3858782500001</v>
      </c>
      <c r="F68" s="195">
        <v>7047.1827562500002</v>
      </c>
      <c r="G68" s="195">
        <v>8289.1734266250005</v>
      </c>
      <c r="H68" s="195">
        <v>11091.181476375001</v>
      </c>
      <c r="I68" s="195">
        <v>12142.83798</v>
      </c>
      <c r="J68" s="195">
        <v>24365.18263725</v>
      </c>
    </row>
    <row r="69" spans="2:10" ht="13" outlineLevel="1" thickBot="1" x14ac:dyDescent="0.3">
      <c r="B69" s="210" t="s">
        <v>87</v>
      </c>
      <c r="C69" s="195">
        <v>25885.446678</v>
      </c>
      <c r="D69" s="195">
        <v>30738.967930125003</v>
      </c>
      <c r="E69" s="195">
        <v>31548.490462125003</v>
      </c>
      <c r="F69" s="195">
        <v>35592.489182249999</v>
      </c>
      <c r="G69" s="195">
        <v>39637.692548999999</v>
      </c>
      <c r="H69" s="195">
        <v>63095.776277625002</v>
      </c>
      <c r="I69" s="195">
        <v>117294.03258300001</v>
      </c>
      <c r="J69" s="195">
        <v>131042.664514125</v>
      </c>
    </row>
    <row r="70" spans="2:10" ht="13.75" customHeight="1" outlineLevel="1" thickBot="1" x14ac:dyDescent="0.3">
      <c r="B70" s="317" t="s">
        <v>302</v>
      </c>
      <c r="C70" s="318"/>
      <c r="D70" s="318"/>
      <c r="E70" s="318"/>
      <c r="F70" s="318"/>
      <c r="G70" s="318"/>
      <c r="H70" s="318"/>
      <c r="I70" s="318"/>
      <c r="J70" s="209"/>
    </row>
    <row r="71" spans="2:10" ht="13" outlineLevel="1" thickBot="1" x14ac:dyDescent="0.3">
      <c r="B71" s="210" t="s">
        <v>300</v>
      </c>
      <c r="C71" s="194">
        <v>10400</v>
      </c>
      <c r="D71" s="194">
        <v>11700</v>
      </c>
      <c r="E71" s="194">
        <v>12400</v>
      </c>
      <c r="F71" s="194">
        <v>13800</v>
      </c>
      <c r="G71" s="194">
        <v>17200</v>
      </c>
      <c r="H71" s="194">
        <v>34500</v>
      </c>
      <c r="I71" s="194">
        <v>45900</v>
      </c>
      <c r="J71" s="194">
        <v>108273</v>
      </c>
    </row>
    <row r="72" spans="2:10" ht="13" outlineLevel="1" thickBot="1" x14ac:dyDescent="0.3">
      <c r="B72" s="210" t="s">
        <v>83</v>
      </c>
      <c r="C72" s="194">
        <v>21.5</v>
      </c>
      <c r="D72" s="194">
        <v>25</v>
      </c>
      <c r="E72" s="194">
        <v>25.5</v>
      </c>
      <c r="F72" s="194">
        <v>28.5</v>
      </c>
      <c r="G72" s="194">
        <v>34</v>
      </c>
      <c r="H72" s="194">
        <v>48.5</v>
      </c>
      <c r="I72" s="194">
        <v>96</v>
      </c>
      <c r="J72" s="194">
        <v>180</v>
      </c>
    </row>
    <row r="73" spans="2:10" ht="13" outlineLevel="1" thickBot="1" x14ac:dyDescent="0.3">
      <c r="B73" s="210" t="s">
        <v>84</v>
      </c>
      <c r="C73" s="195">
        <v>23878.505400750004</v>
      </c>
      <c r="D73" s="195">
        <v>26863.318575843758</v>
      </c>
      <c r="E73" s="195">
        <v>28470.525670125007</v>
      </c>
      <c r="F73" s="195">
        <v>31684.939858687507</v>
      </c>
      <c r="G73" s="195">
        <v>39491.374316625006</v>
      </c>
      <c r="H73" s="195">
        <v>79212.349646718765</v>
      </c>
      <c r="I73" s="195">
        <v>105386.86518215627</v>
      </c>
      <c r="J73" s="195">
        <v>297785.14759153133</v>
      </c>
    </row>
    <row r="74" spans="2:10" ht="13" outlineLevel="1" thickBot="1" x14ac:dyDescent="0.3">
      <c r="B74" s="210" t="s">
        <v>85</v>
      </c>
      <c r="C74" s="195">
        <v>30918.159115593757</v>
      </c>
      <c r="D74" s="195">
        <v>34783.458933726572</v>
      </c>
      <c r="E74" s="195">
        <v>36863.958945515631</v>
      </c>
      <c r="F74" s="195">
        <v>41026.018826460946</v>
      </c>
      <c r="G74" s="195">
        <v>51133.878537328135</v>
      </c>
      <c r="H74" s="195">
        <v>102565.57699483597</v>
      </c>
      <c r="I74" s="195">
        <v>136456.63602539065</v>
      </c>
      <c r="J74" s="195">
        <v>385568.69118124229</v>
      </c>
    </row>
    <row r="75" spans="2:10" ht="13" outlineLevel="1" thickBot="1" x14ac:dyDescent="0.3">
      <c r="B75" s="210" t="s">
        <v>86</v>
      </c>
      <c r="C75" s="195">
        <v>9807.0281741250001</v>
      </c>
      <c r="D75" s="195">
        <v>11441.73364425</v>
      </c>
      <c r="E75" s="195">
        <v>12259.688702625001</v>
      </c>
      <c r="F75" s="195">
        <v>13893.189526125001</v>
      </c>
      <c r="G75" s="195">
        <v>16345.850054625002</v>
      </c>
      <c r="H75" s="195">
        <v>39865.370761124999</v>
      </c>
      <c r="I75" s="195">
        <v>62710.289357625006</v>
      </c>
      <c r="J75" s="195">
        <v>24365.18263725</v>
      </c>
    </row>
    <row r="76" spans="2:10" ht="13" outlineLevel="1" thickBot="1" x14ac:dyDescent="0.3">
      <c r="B76" s="210" t="s">
        <v>87</v>
      </c>
      <c r="C76" s="195">
        <v>34784.171296875</v>
      </c>
      <c r="D76" s="195">
        <v>40446.010434375006</v>
      </c>
      <c r="E76" s="195">
        <v>41255.532966375002</v>
      </c>
      <c r="F76" s="195">
        <v>46109.054218500001</v>
      </c>
      <c r="G76" s="195">
        <v>55006.574190750005</v>
      </c>
      <c r="H76" s="195">
        <v>78465.862566000011</v>
      </c>
      <c r="I76" s="195">
        <v>155312.68006800002</v>
      </c>
      <c r="J76" s="195">
        <v>258850.85284012501</v>
      </c>
    </row>
    <row r="77" spans="2:10" ht="13.75" customHeight="1" outlineLevel="1" thickBot="1" x14ac:dyDescent="0.3">
      <c r="B77" s="317" t="s">
        <v>303</v>
      </c>
      <c r="C77" s="318"/>
      <c r="D77" s="318"/>
      <c r="E77" s="318"/>
      <c r="F77" s="318"/>
      <c r="G77" s="318"/>
      <c r="H77" s="318"/>
      <c r="I77" s="318"/>
      <c r="J77" s="209"/>
    </row>
    <row r="78" spans="2:10" ht="13" outlineLevel="1" thickBot="1" x14ac:dyDescent="0.3">
      <c r="B78" s="210" t="s">
        <v>300</v>
      </c>
      <c r="C78" s="194">
        <v>13400</v>
      </c>
      <c r="D78" s="194">
        <v>15200</v>
      </c>
      <c r="E78" s="194">
        <v>16100</v>
      </c>
      <c r="F78" s="194">
        <v>17800</v>
      </c>
      <c r="G78" s="194">
        <v>22200</v>
      </c>
      <c r="H78" s="194">
        <v>44700</v>
      </c>
      <c r="I78" s="194">
        <v>59400</v>
      </c>
      <c r="J78" s="194">
        <v>108273</v>
      </c>
    </row>
    <row r="79" spans="2:10" ht="13" outlineLevel="1" thickBot="1" x14ac:dyDescent="0.3">
      <c r="B79" s="210" t="s">
        <v>83</v>
      </c>
      <c r="C79" s="194">
        <v>33.5</v>
      </c>
      <c r="D79" s="194">
        <v>38</v>
      </c>
      <c r="E79" s="194">
        <v>39</v>
      </c>
      <c r="F79" s="194">
        <v>43</v>
      </c>
      <c r="G79" s="194">
        <v>52</v>
      </c>
      <c r="H79" s="194">
        <v>90</v>
      </c>
      <c r="I79" s="194">
        <v>176</v>
      </c>
      <c r="J79" s="194">
        <v>180</v>
      </c>
    </row>
    <row r="80" spans="2:10" ht="13" outlineLevel="1" thickBot="1" x14ac:dyDescent="0.3">
      <c r="B80" s="210" t="s">
        <v>84</v>
      </c>
      <c r="C80" s="195">
        <v>30766.535804812505</v>
      </c>
      <c r="D80" s="195">
        <v>34899.35404725001</v>
      </c>
      <c r="E80" s="195">
        <v>36965.763168468759</v>
      </c>
      <c r="F80" s="195">
        <v>40868.98039743751</v>
      </c>
      <c r="G80" s="195">
        <v>50971.424990062515</v>
      </c>
      <c r="H80" s="195">
        <v>102631.65302053127</v>
      </c>
      <c r="I80" s="195">
        <v>136383.00200043753</v>
      </c>
      <c r="J80" s="195">
        <v>297785.14759153133</v>
      </c>
    </row>
    <row r="81" spans="1:10" ht="13" outlineLevel="1" thickBot="1" x14ac:dyDescent="0.3">
      <c r="B81" s="210" t="s">
        <v>85</v>
      </c>
      <c r="C81" s="195">
        <v>39836.858860476568</v>
      </c>
      <c r="D81" s="195">
        <v>45188.078707406261</v>
      </c>
      <c r="E81" s="195">
        <v>47864.218559554698</v>
      </c>
      <c r="F81" s="195">
        <v>52917.618486304702</v>
      </c>
      <c r="G81" s="195">
        <v>65998.378112132821</v>
      </c>
      <c r="H81" s="195">
        <v>132889.15612743754</v>
      </c>
      <c r="I81" s="195">
        <v>176590.25494867974</v>
      </c>
      <c r="J81" s="195">
        <v>385568.69118124229</v>
      </c>
    </row>
    <row r="82" spans="1:10" ht="13" outlineLevel="1" thickBot="1" x14ac:dyDescent="0.3">
      <c r="B82" s="210" t="s">
        <v>86</v>
      </c>
      <c r="C82" s="195">
        <v>9807.0281741250001</v>
      </c>
      <c r="D82" s="195">
        <v>11441.73364425</v>
      </c>
      <c r="E82" s="195">
        <v>12259.688702625001</v>
      </c>
      <c r="F82" s="195">
        <v>13893.189526125001</v>
      </c>
      <c r="G82" s="195">
        <v>16345.850054625002</v>
      </c>
      <c r="H82" s="195">
        <v>39865.370761124999</v>
      </c>
      <c r="I82" s="195">
        <v>62710.289357625006</v>
      </c>
      <c r="J82" s="195">
        <v>24365.18263725</v>
      </c>
    </row>
    <row r="83" spans="1:10" ht="13" outlineLevel="1" thickBot="1" x14ac:dyDescent="0.3">
      <c r="B83" s="210" t="s">
        <v>87</v>
      </c>
      <c r="C83" s="195">
        <v>54198.256305375005</v>
      </c>
      <c r="D83" s="195">
        <v>61477.935860250007</v>
      </c>
      <c r="E83" s="195">
        <v>63095.776277625002</v>
      </c>
      <c r="F83" s="195">
        <v>69567.137947125011</v>
      </c>
      <c r="G83" s="195">
        <v>84127.701703500003</v>
      </c>
      <c r="H83" s="195">
        <v>145605.63756375</v>
      </c>
      <c r="I83" s="195">
        <v>284739.913458</v>
      </c>
      <c r="J83" s="195">
        <v>258850.85284012501</v>
      </c>
    </row>
    <row r="85" spans="1:10" ht="15.65" customHeight="1" thickBot="1" x14ac:dyDescent="0.35">
      <c r="A85" s="216" t="s">
        <v>308</v>
      </c>
      <c r="B85" s="214"/>
      <c r="C85" s="214"/>
      <c r="D85" s="214"/>
      <c r="E85" s="214"/>
      <c r="F85" s="214"/>
      <c r="G85" s="214"/>
      <c r="H85" s="214"/>
      <c r="I85" s="215"/>
      <c r="J85" s="215"/>
    </row>
    <row r="86" spans="1:10" ht="15.65" customHeight="1" outlineLevel="1" thickBot="1" x14ac:dyDescent="0.3">
      <c r="B86" s="212" t="s">
        <v>299</v>
      </c>
      <c r="C86" s="213" t="s">
        <v>70</v>
      </c>
      <c r="D86" s="213" t="s">
        <v>71</v>
      </c>
      <c r="E86" s="213" t="s">
        <v>72</v>
      </c>
      <c r="F86" s="213" t="s">
        <v>73</v>
      </c>
      <c r="G86" s="213" t="s">
        <v>74</v>
      </c>
      <c r="H86" s="213" t="s">
        <v>75</v>
      </c>
    </row>
    <row r="87" spans="1:10" ht="13.75" customHeight="1" outlineLevel="1" thickBot="1" x14ac:dyDescent="0.3">
      <c r="B87" s="317" t="s">
        <v>298</v>
      </c>
      <c r="C87" s="318"/>
      <c r="D87" s="318"/>
      <c r="E87" s="318"/>
      <c r="F87" s="318"/>
      <c r="G87" s="318"/>
      <c r="H87" s="209"/>
      <c r="I87" s="217"/>
      <c r="J87" s="217"/>
    </row>
    <row r="88" spans="1:10" ht="13" outlineLevel="1" thickBot="1" x14ac:dyDescent="0.3">
      <c r="B88" s="210" t="s">
        <v>300</v>
      </c>
      <c r="C88" s="194">
        <v>11300</v>
      </c>
      <c r="D88" s="194">
        <v>12700</v>
      </c>
      <c r="E88" s="194">
        <v>13500</v>
      </c>
      <c r="F88" s="194">
        <v>14900</v>
      </c>
      <c r="G88" s="194">
        <v>18600</v>
      </c>
      <c r="H88" s="194">
        <v>36000</v>
      </c>
    </row>
    <row r="89" spans="1:10" ht="13" outlineLevel="1" thickBot="1" x14ac:dyDescent="0.3">
      <c r="B89" s="210" t="s">
        <v>83</v>
      </c>
      <c r="C89" s="194">
        <v>8</v>
      </c>
      <c r="D89" s="194">
        <v>10</v>
      </c>
      <c r="E89" s="194">
        <v>14.5</v>
      </c>
      <c r="F89" s="194">
        <v>17.5</v>
      </c>
      <c r="G89" s="194">
        <v>23</v>
      </c>
      <c r="H89" s="194">
        <v>46.5</v>
      </c>
    </row>
    <row r="90" spans="1:10" ht="13" outlineLevel="1" thickBot="1" x14ac:dyDescent="0.3">
      <c r="B90" s="210" t="s">
        <v>84</v>
      </c>
      <c r="C90" s="195">
        <v>31078.400283000006</v>
      </c>
      <c r="D90" s="195">
        <v>34928.82155700001</v>
      </c>
      <c r="E90" s="195">
        <v>37129.062285000007</v>
      </c>
      <c r="F90" s="195">
        <v>40979.483559000008</v>
      </c>
      <c r="G90" s="195">
        <v>51155.596926000013</v>
      </c>
      <c r="H90" s="195">
        <v>99010.832760000019</v>
      </c>
    </row>
    <row r="91" spans="1:10" ht="13.75" customHeight="1" outlineLevel="1" thickBot="1" x14ac:dyDescent="0.3">
      <c r="B91" s="210" t="s">
        <v>85</v>
      </c>
      <c r="C91" s="195">
        <v>40240.664517375008</v>
      </c>
      <c r="D91" s="195">
        <v>45226.233572625009</v>
      </c>
      <c r="E91" s="195">
        <v>48075.13017562501</v>
      </c>
      <c r="F91" s="195">
        <v>53060.699230875012</v>
      </c>
      <c r="G91" s="195">
        <v>66236.84601975001</v>
      </c>
      <c r="H91" s="195">
        <v>128200.34713500003</v>
      </c>
    </row>
    <row r="92" spans="1:10" ht="13" outlineLevel="1" thickBot="1" x14ac:dyDescent="0.3">
      <c r="B92" s="210" t="s">
        <v>86</v>
      </c>
      <c r="C92" s="195">
        <v>9682.9495717500013</v>
      </c>
      <c r="D92" s="195">
        <v>11297.176049250002</v>
      </c>
      <c r="E92" s="195">
        <v>12103.084641375001</v>
      </c>
      <c r="F92" s="195">
        <v>13717.311118875001</v>
      </c>
      <c r="G92" s="195">
        <v>16138.650835125001</v>
      </c>
      <c r="H92" s="195">
        <v>21716.164708875003</v>
      </c>
    </row>
    <row r="93" spans="1:10" ht="13" outlineLevel="1" thickBot="1" x14ac:dyDescent="0.3">
      <c r="B93" s="210" t="s">
        <v>87</v>
      </c>
      <c r="C93" s="195">
        <v>12942.723339</v>
      </c>
      <c r="D93" s="195">
        <v>16178.404173750001</v>
      </c>
      <c r="E93" s="195">
        <v>23459.288375250002</v>
      </c>
      <c r="F93" s="195">
        <v>28312.809627375002</v>
      </c>
      <c r="G93" s="195">
        <v>37210.329599625002</v>
      </c>
      <c r="H93" s="195">
        <v>75230.181731250006</v>
      </c>
    </row>
    <row r="94" spans="1:10" ht="13.75" customHeight="1" outlineLevel="1" thickBot="1" x14ac:dyDescent="0.3">
      <c r="B94" s="317" t="s">
        <v>304</v>
      </c>
      <c r="C94" s="318"/>
      <c r="D94" s="318"/>
      <c r="E94" s="318"/>
      <c r="F94" s="318"/>
      <c r="G94" s="318"/>
      <c r="H94" s="209"/>
      <c r="I94" s="217"/>
      <c r="J94" s="217"/>
    </row>
    <row r="95" spans="1:10" ht="13" outlineLevel="1" thickBot="1" x14ac:dyDescent="0.3">
      <c r="B95" s="210" t="s">
        <v>300</v>
      </c>
      <c r="C95" s="194">
        <v>15000</v>
      </c>
      <c r="D95" s="194">
        <v>16800</v>
      </c>
      <c r="E95" s="194">
        <v>17900</v>
      </c>
      <c r="F95" s="194">
        <v>19700</v>
      </c>
      <c r="G95" s="194">
        <v>24600</v>
      </c>
      <c r="H95" s="194">
        <v>47700</v>
      </c>
    </row>
    <row r="96" spans="1:10" ht="13" outlineLevel="1" thickBot="1" x14ac:dyDescent="0.3">
      <c r="B96" s="210" t="s">
        <v>83</v>
      </c>
      <c r="C96" s="194">
        <v>13</v>
      </c>
      <c r="D96" s="194">
        <v>15.5</v>
      </c>
      <c r="E96" s="194">
        <v>21.5</v>
      </c>
      <c r="F96" s="194">
        <v>25.5</v>
      </c>
      <c r="G96" s="194">
        <v>32.5</v>
      </c>
      <c r="H96" s="194">
        <v>61</v>
      </c>
    </row>
    <row r="97" spans="2:10" ht="13" outlineLevel="1" thickBot="1" x14ac:dyDescent="0.3">
      <c r="B97" s="210" t="s">
        <v>84</v>
      </c>
      <c r="C97" s="195">
        <v>41254.513650000008</v>
      </c>
      <c r="D97" s="195">
        <v>46205.05528800001</v>
      </c>
      <c r="E97" s="195">
        <v>49230.386289000009</v>
      </c>
      <c r="F97" s="195">
        <v>54180.927927000012</v>
      </c>
      <c r="G97" s="195">
        <v>67657.402386000016</v>
      </c>
      <c r="H97" s="195">
        <v>131189.35340700002</v>
      </c>
    </row>
    <row r="98" spans="2:10" ht="13" outlineLevel="1" thickBot="1" x14ac:dyDescent="0.3">
      <c r="B98" s="210" t="s">
        <v>85</v>
      </c>
      <c r="C98" s="195">
        <v>53416.811306250012</v>
      </c>
      <c r="D98" s="195">
        <v>59826.828663000015</v>
      </c>
      <c r="E98" s="195">
        <v>63744.061492125016</v>
      </c>
      <c r="F98" s="195">
        <v>70154.078848875011</v>
      </c>
      <c r="G98" s="195">
        <v>87603.570542250018</v>
      </c>
      <c r="H98" s="195">
        <v>169865.45995387505</v>
      </c>
    </row>
    <row r="99" spans="2:10" ht="13" outlineLevel="1" thickBot="1" x14ac:dyDescent="0.3">
      <c r="B99" s="210" t="s">
        <v>86</v>
      </c>
      <c r="C99" s="195">
        <v>9682.9495717500013</v>
      </c>
      <c r="D99" s="195">
        <v>11297.176049250002</v>
      </c>
      <c r="E99" s="195">
        <v>12103.084641375001</v>
      </c>
      <c r="F99" s="195">
        <v>13717.311118875001</v>
      </c>
      <c r="G99" s="195">
        <v>16138.650835125001</v>
      </c>
      <c r="H99" s="195">
        <v>21716.164708875003</v>
      </c>
    </row>
    <row r="100" spans="2:10" ht="13" outlineLevel="1" thickBot="1" x14ac:dyDescent="0.3">
      <c r="B100" s="210" t="s">
        <v>87</v>
      </c>
      <c r="C100" s="195">
        <v>21031.925425875001</v>
      </c>
      <c r="D100" s="195">
        <v>25077.128792625001</v>
      </c>
      <c r="E100" s="195">
        <v>34784.171296875</v>
      </c>
      <c r="F100" s="195">
        <v>41255.532966375002</v>
      </c>
      <c r="G100" s="195">
        <v>52580.415888000003</v>
      </c>
      <c r="H100" s="195">
        <v>98688.265459875009</v>
      </c>
    </row>
    <row r="101" spans="2:10" ht="13.75" customHeight="1" outlineLevel="1" thickBot="1" x14ac:dyDescent="0.3">
      <c r="B101" s="317" t="s">
        <v>302</v>
      </c>
      <c r="C101" s="318"/>
      <c r="D101" s="318"/>
      <c r="E101" s="318"/>
      <c r="F101" s="318"/>
      <c r="G101" s="318"/>
      <c r="H101" s="209"/>
      <c r="I101" s="217"/>
      <c r="J101" s="217"/>
    </row>
    <row r="102" spans="2:10" ht="13" outlineLevel="1" thickBot="1" x14ac:dyDescent="0.3">
      <c r="B102" s="210" t="s">
        <v>300</v>
      </c>
      <c r="C102" s="194">
        <v>16700</v>
      </c>
      <c r="D102" s="194">
        <v>18700</v>
      </c>
      <c r="E102" s="194">
        <v>19900</v>
      </c>
      <c r="F102" s="194">
        <v>22000</v>
      </c>
      <c r="G102" s="194">
        <v>27400</v>
      </c>
      <c r="H102" s="194">
        <v>54000</v>
      </c>
    </row>
    <row r="103" spans="2:10" ht="13" outlineLevel="1" thickBot="1" x14ac:dyDescent="0.3">
      <c r="B103" s="210" t="s">
        <v>83</v>
      </c>
      <c r="C103" s="194">
        <v>15.5</v>
      </c>
      <c r="D103" s="194">
        <v>18.5</v>
      </c>
      <c r="E103" s="194">
        <v>25</v>
      </c>
      <c r="F103" s="194">
        <v>29.5</v>
      </c>
      <c r="G103" s="194">
        <v>37</v>
      </c>
      <c r="H103" s="194">
        <v>68.5</v>
      </c>
    </row>
    <row r="104" spans="2:10" ht="13" outlineLevel="1" thickBot="1" x14ac:dyDescent="0.3">
      <c r="B104" s="210" t="s">
        <v>84</v>
      </c>
      <c r="C104" s="195">
        <v>45930.02519700001</v>
      </c>
      <c r="D104" s="195">
        <v>51430.627017000013</v>
      </c>
      <c r="E104" s="195">
        <v>54730.988109000013</v>
      </c>
      <c r="F104" s="195">
        <v>60506.620020000017</v>
      </c>
      <c r="G104" s="195">
        <v>75358.244934000017</v>
      </c>
      <c r="H104" s="195">
        <v>148516.24914000003</v>
      </c>
    </row>
    <row r="105" spans="2:10" ht="13" outlineLevel="1" thickBot="1" x14ac:dyDescent="0.3">
      <c r="B105" s="210" t="s">
        <v>85</v>
      </c>
      <c r="C105" s="195">
        <v>59470.716587625015</v>
      </c>
      <c r="D105" s="195">
        <v>66592.95809512501</v>
      </c>
      <c r="E105" s="195">
        <v>70866.302999625012</v>
      </c>
      <c r="F105" s="195">
        <v>78344.656582500014</v>
      </c>
      <c r="G105" s="195">
        <v>97574.708652750021</v>
      </c>
      <c r="H105" s="195">
        <v>192300.52070250004</v>
      </c>
    </row>
    <row r="106" spans="2:10" ht="13" outlineLevel="1" thickBot="1" x14ac:dyDescent="0.3">
      <c r="B106" s="210" t="s">
        <v>86</v>
      </c>
      <c r="C106" s="195">
        <v>19341.806211000003</v>
      </c>
      <c r="D106" s="195">
        <v>22566.645226125001</v>
      </c>
      <c r="E106" s="195">
        <v>24178.462410375003</v>
      </c>
      <c r="F106" s="195">
        <v>27402.096778875002</v>
      </c>
      <c r="G106" s="195">
        <v>32237.548331625003</v>
      </c>
      <c r="H106" s="195">
        <v>79289.840857500007</v>
      </c>
    </row>
    <row r="107" spans="2:10" ht="13" outlineLevel="1" thickBot="1" x14ac:dyDescent="0.3">
      <c r="B107" s="210" t="s">
        <v>87</v>
      </c>
      <c r="C107" s="195">
        <v>25077.128792625001</v>
      </c>
      <c r="D107" s="195">
        <v>29930.65004475</v>
      </c>
      <c r="E107" s="195">
        <v>40446.010434375006</v>
      </c>
      <c r="F107" s="195">
        <v>47726.894635875004</v>
      </c>
      <c r="G107" s="195">
        <v>59860.095442875005</v>
      </c>
      <c r="H107" s="195">
        <v>110822.67091350001</v>
      </c>
    </row>
    <row r="108" spans="2:10" ht="13.75" customHeight="1" outlineLevel="1" thickBot="1" x14ac:dyDescent="0.3">
      <c r="B108" s="317" t="s">
        <v>303</v>
      </c>
      <c r="C108" s="318"/>
      <c r="D108" s="318"/>
      <c r="E108" s="318"/>
      <c r="F108" s="318"/>
      <c r="G108" s="318"/>
      <c r="H108" s="209"/>
      <c r="I108" s="217"/>
      <c r="J108" s="217"/>
    </row>
    <row r="109" spans="2:10" ht="13" outlineLevel="1" thickBot="1" x14ac:dyDescent="0.3">
      <c r="B109" s="210" t="s">
        <v>300</v>
      </c>
      <c r="C109" s="194">
        <v>26000</v>
      </c>
      <c r="D109" s="194">
        <v>29200</v>
      </c>
      <c r="E109" s="194">
        <v>31100</v>
      </c>
      <c r="F109" s="194">
        <v>34300</v>
      </c>
      <c r="G109" s="194">
        <v>42800</v>
      </c>
      <c r="H109" s="194">
        <v>84600</v>
      </c>
    </row>
    <row r="110" spans="2:10" ht="13" outlineLevel="1" thickBot="1" x14ac:dyDescent="0.3">
      <c r="B110" s="210" t="s">
        <v>83</v>
      </c>
      <c r="C110" s="194">
        <v>20</v>
      </c>
      <c r="D110" s="194">
        <v>24</v>
      </c>
      <c r="E110" s="194">
        <v>32</v>
      </c>
      <c r="F110" s="194">
        <v>37</v>
      </c>
      <c r="G110" s="194">
        <v>46</v>
      </c>
      <c r="H110" s="194">
        <v>81.5</v>
      </c>
    </row>
    <row r="111" spans="2:10" ht="13" outlineLevel="1" thickBot="1" x14ac:dyDescent="0.3">
      <c r="B111" s="210" t="s">
        <v>84</v>
      </c>
      <c r="C111" s="195">
        <v>71507.823660000009</v>
      </c>
      <c r="D111" s="195">
        <v>80308.786572000012</v>
      </c>
      <c r="E111" s="195">
        <v>85534.358301000015</v>
      </c>
      <c r="F111" s="195">
        <v>94335.321213000017</v>
      </c>
      <c r="G111" s="195">
        <v>117712.87894800003</v>
      </c>
      <c r="H111" s="195">
        <v>232675.45698600006</v>
      </c>
    </row>
    <row r="112" spans="2:10" ht="13" outlineLevel="1" thickBot="1" x14ac:dyDescent="0.3">
      <c r="B112" s="210" t="s">
        <v>85</v>
      </c>
      <c r="C112" s="195">
        <v>92589.13959750002</v>
      </c>
      <c r="D112" s="195">
        <v>103984.72600950002</v>
      </c>
      <c r="E112" s="195">
        <v>110750.85544162503</v>
      </c>
      <c r="F112" s="195">
        <v>122146.44185362503</v>
      </c>
      <c r="G112" s="195">
        <v>152415.96826050003</v>
      </c>
      <c r="H112" s="195">
        <v>301270.81576725008</v>
      </c>
    </row>
    <row r="113" spans="1:10" ht="13" outlineLevel="1" thickBot="1" x14ac:dyDescent="0.3">
      <c r="B113" s="210" t="s">
        <v>86</v>
      </c>
      <c r="C113" s="195">
        <v>19341.806211000003</v>
      </c>
      <c r="D113" s="195">
        <v>22566.645226125001</v>
      </c>
      <c r="E113" s="195">
        <v>24178.462410375003</v>
      </c>
      <c r="F113" s="195">
        <v>27402.096778875002</v>
      </c>
      <c r="G113" s="195">
        <v>32237.548331625003</v>
      </c>
      <c r="H113" s="195">
        <v>79289.840857500007</v>
      </c>
    </row>
    <row r="114" spans="1:10" ht="13" outlineLevel="1" thickBot="1" x14ac:dyDescent="0.3">
      <c r="B114" s="210" t="s">
        <v>87</v>
      </c>
      <c r="C114" s="195">
        <v>32356.808347500002</v>
      </c>
      <c r="D114" s="195">
        <v>38828.170017000004</v>
      </c>
      <c r="E114" s="195">
        <v>51770.893356</v>
      </c>
      <c r="F114" s="195">
        <v>59860.095442875005</v>
      </c>
      <c r="G114" s="195">
        <v>74420.659199250003</v>
      </c>
      <c r="H114" s="195">
        <v>131854.59633937501</v>
      </c>
    </row>
    <row r="116" spans="1:10" ht="15.65" customHeight="1" thickBot="1" x14ac:dyDescent="0.35">
      <c r="A116" s="216" t="s">
        <v>307</v>
      </c>
      <c r="B116" s="214"/>
      <c r="C116" s="214"/>
      <c r="D116" s="214"/>
      <c r="E116" s="214"/>
      <c r="F116" s="214"/>
      <c r="G116" s="214"/>
      <c r="H116" s="214"/>
      <c r="I116" s="215"/>
      <c r="J116" s="215"/>
    </row>
    <row r="117" spans="1:10" ht="15.65" customHeight="1" outlineLevel="1" thickBot="1" x14ac:dyDescent="0.3">
      <c r="B117" s="212" t="s">
        <v>299</v>
      </c>
      <c r="C117" s="213" t="s">
        <v>70</v>
      </c>
      <c r="D117" s="213" t="s">
        <v>71</v>
      </c>
      <c r="E117" s="213" t="s">
        <v>72</v>
      </c>
      <c r="F117" s="213" t="s">
        <v>73</v>
      </c>
      <c r="G117" s="213" t="s">
        <v>74</v>
      </c>
      <c r="H117" s="213" t="s">
        <v>75</v>
      </c>
    </row>
    <row r="118" spans="1:10" ht="13.75" customHeight="1" outlineLevel="1" thickBot="1" x14ac:dyDescent="0.3">
      <c r="B118" s="317" t="s">
        <v>298</v>
      </c>
      <c r="C118" s="318"/>
      <c r="D118" s="318"/>
      <c r="E118" s="318"/>
      <c r="F118" s="318"/>
      <c r="G118" s="318"/>
      <c r="H118" s="209"/>
      <c r="I118" s="217"/>
      <c r="J118" s="217"/>
    </row>
    <row r="119" spans="1:10" ht="13" outlineLevel="1" thickBot="1" x14ac:dyDescent="0.3">
      <c r="B119" s="210" t="s">
        <v>300</v>
      </c>
      <c r="C119" s="194">
        <v>9200</v>
      </c>
      <c r="D119" s="194">
        <v>10400</v>
      </c>
      <c r="E119" s="194">
        <v>11000</v>
      </c>
      <c r="F119" s="194">
        <v>12200</v>
      </c>
      <c r="G119" s="194">
        <v>15200</v>
      </c>
      <c r="H119" s="194">
        <v>36000</v>
      </c>
    </row>
    <row r="120" spans="1:10" ht="13" outlineLevel="1" thickBot="1" x14ac:dyDescent="0.3">
      <c r="B120" s="210" t="s">
        <v>83</v>
      </c>
      <c r="C120" s="194">
        <v>13</v>
      </c>
      <c r="D120" s="194">
        <v>17</v>
      </c>
      <c r="E120" s="194">
        <v>19.5</v>
      </c>
      <c r="F120" s="194">
        <v>21</v>
      </c>
      <c r="G120" s="194">
        <v>22</v>
      </c>
      <c r="H120" s="194">
        <v>31.5</v>
      </c>
    </row>
    <row r="121" spans="1:10" ht="13" outlineLevel="1" thickBot="1" x14ac:dyDescent="0.3">
      <c r="B121" s="210" t="s">
        <v>84</v>
      </c>
      <c r="C121" s="195">
        <v>21123.293239125003</v>
      </c>
      <c r="D121" s="195">
        <v>23878.505400750004</v>
      </c>
      <c r="E121" s="195">
        <v>25256.111481562504</v>
      </c>
      <c r="F121" s="195">
        <v>28011.323643187505</v>
      </c>
      <c r="G121" s="195">
        <v>34899.35404725001</v>
      </c>
      <c r="H121" s="195">
        <v>82656.364848750018</v>
      </c>
    </row>
    <row r="122" spans="1:10" ht="13.75" customHeight="1" outlineLevel="1" thickBot="1" x14ac:dyDescent="0.3">
      <c r="B122" s="210" t="s">
        <v>85</v>
      </c>
      <c r="C122" s="195">
        <v>27350.679217640631</v>
      </c>
      <c r="D122" s="195">
        <v>30918.159115593757</v>
      </c>
      <c r="E122" s="195">
        <v>32701.89906457032</v>
      </c>
      <c r="F122" s="195">
        <v>36269.378962523442</v>
      </c>
      <c r="G122" s="195">
        <v>45188.078707406261</v>
      </c>
      <c r="H122" s="195">
        <v>107024.39693859377</v>
      </c>
    </row>
    <row r="123" spans="1:10" ht="13" outlineLevel="1" thickBot="1" x14ac:dyDescent="0.3">
      <c r="B123" s="210" t="s">
        <v>86</v>
      </c>
      <c r="C123" s="195">
        <v>9682.9495717500013</v>
      </c>
      <c r="D123" s="195">
        <v>11297.176049250002</v>
      </c>
      <c r="E123" s="195">
        <v>12103.084641375001</v>
      </c>
      <c r="F123" s="195">
        <v>13717.311118875001</v>
      </c>
      <c r="G123" s="195">
        <v>16138.650835125001</v>
      </c>
      <c r="H123" s="195">
        <v>21716.164708875003</v>
      </c>
    </row>
    <row r="124" spans="1:10" ht="13" outlineLevel="1" thickBot="1" x14ac:dyDescent="0.3">
      <c r="B124" s="210" t="s">
        <v>87</v>
      </c>
      <c r="C124" s="195">
        <v>21031.925425875001</v>
      </c>
      <c r="D124" s="195">
        <v>27503.287095375003</v>
      </c>
      <c r="E124" s="195">
        <v>31548.490462125003</v>
      </c>
      <c r="F124" s="195">
        <v>33974.648764875004</v>
      </c>
      <c r="G124" s="195">
        <v>35592.489182249999</v>
      </c>
      <c r="H124" s="195">
        <v>50962.575470625001</v>
      </c>
    </row>
    <row r="125" spans="1:10" ht="13.75" customHeight="1" outlineLevel="1" thickBot="1" x14ac:dyDescent="0.3">
      <c r="B125" s="317" t="s">
        <v>304</v>
      </c>
      <c r="C125" s="318"/>
      <c r="D125" s="318"/>
      <c r="E125" s="318"/>
      <c r="F125" s="318"/>
      <c r="G125" s="318"/>
      <c r="H125" s="209"/>
      <c r="I125" s="217"/>
      <c r="J125" s="217"/>
    </row>
    <row r="126" spans="1:10" ht="13" outlineLevel="1" thickBot="1" x14ac:dyDescent="0.3">
      <c r="B126" s="210" t="s">
        <v>300</v>
      </c>
      <c r="C126" s="194">
        <v>13800</v>
      </c>
      <c r="D126" s="194">
        <v>15600</v>
      </c>
      <c r="E126" s="194">
        <v>16500</v>
      </c>
      <c r="F126" s="194">
        <v>18300</v>
      </c>
      <c r="G126" s="194">
        <v>22800</v>
      </c>
      <c r="H126" s="194">
        <v>53100</v>
      </c>
    </row>
    <row r="127" spans="1:10" ht="13" outlineLevel="1" thickBot="1" x14ac:dyDescent="0.3">
      <c r="B127" s="210" t="s">
        <v>83</v>
      </c>
      <c r="C127" s="194">
        <v>22.5</v>
      </c>
      <c r="D127" s="194">
        <v>28</v>
      </c>
      <c r="E127" s="194">
        <v>34.5</v>
      </c>
      <c r="F127" s="194">
        <v>37.5</v>
      </c>
      <c r="G127" s="194">
        <v>46.5</v>
      </c>
      <c r="H127" s="194">
        <v>59</v>
      </c>
    </row>
    <row r="128" spans="1:10" ht="13" outlineLevel="1" thickBot="1" x14ac:dyDescent="0.3">
      <c r="B128" s="210" t="s">
        <v>84</v>
      </c>
      <c r="C128" s="195">
        <v>31562.158568062507</v>
      </c>
      <c r="D128" s="195">
        <v>35817.758101125008</v>
      </c>
      <c r="E128" s="195">
        <v>37884.167222343756</v>
      </c>
      <c r="F128" s="195">
        <v>42016.985464781261</v>
      </c>
      <c r="G128" s="195">
        <v>52349.031070875011</v>
      </c>
      <c r="H128" s="195">
        <v>121918.13815190627</v>
      </c>
    </row>
    <row r="129" spans="2:10" ht="13" outlineLevel="1" thickBot="1" x14ac:dyDescent="0.3">
      <c r="B129" s="210" t="s">
        <v>85</v>
      </c>
      <c r="C129" s="195">
        <v>41026.018826460946</v>
      </c>
      <c r="D129" s="195">
        <v>46377.238673390639</v>
      </c>
      <c r="E129" s="195">
        <v>49053.378525539076</v>
      </c>
      <c r="F129" s="195">
        <v>54404.598372468761</v>
      </c>
      <c r="G129" s="195">
        <v>67782.118061109388</v>
      </c>
      <c r="H129" s="195">
        <v>157861.51541310942</v>
      </c>
    </row>
    <row r="130" spans="2:10" ht="13" outlineLevel="1" thickBot="1" x14ac:dyDescent="0.3">
      <c r="B130" s="210" t="s">
        <v>86</v>
      </c>
      <c r="C130" s="195">
        <v>9682.9495717500013</v>
      </c>
      <c r="D130" s="195">
        <v>11297.176049250002</v>
      </c>
      <c r="E130" s="195">
        <v>12103.084641375001</v>
      </c>
      <c r="F130" s="195">
        <v>13717.311118875001</v>
      </c>
      <c r="G130" s="195">
        <v>16138.650835125001</v>
      </c>
      <c r="H130" s="195">
        <v>21716.164708875003</v>
      </c>
    </row>
    <row r="131" spans="2:10" ht="13" outlineLevel="1" thickBot="1" x14ac:dyDescent="0.3">
      <c r="B131" s="210" t="s">
        <v>87</v>
      </c>
      <c r="C131" s="195">
        <v>36402.011714250002</v>
      </c>
      <c r="D131" s="195">
        <v>45299.531686500006</v>
      </c>
      <c r="E131" s="195">
        <v>55816.09672275</v>
      </c>
      <c r="F131" s="195">
        <v>60669.617974875007</v>
      </c>
      <c r="G131" s="195">
        <v>75230.181731250006</v>
      </c>
      <c r="H131" s="195">
        <v>95452.584625125004</v>
      </c>
    </row>
    <row r="132" spans="2:10" ht="13.75" customHeight="1" outlineLevel="1" thickBot="1" x14ac:dyDescent="0.3">
      <c r="B132" s="317" t="s">
        <v>302</v>
      </c>
      <c r="C132" s="318"/>
      <c r="D132" s="318"/>
      <c r="E132" s="318"/>
      <c r="F132" s="318"/>
      <c r="G132" s="318"/>
      <c r="H132" s="209"/>
      <c r="I132" s="217"/>
      <c r="J132" s="217"/>
    </row>
    <row r="133" spans="2:10" ht="13" outlineLevel="1" thickBot="1" x14ac:dyDescent="0.3">
      <c r="B133" s="210" t="s">
        <v>300</v>
      </c>
      <c r="C133" s="194">
        <v>16100</v>
      </c>
      <c r="D133" s="194">
        <v>18200</v>
      </c>
      <c r="E133" s="194">
        <v>19300</v>
      </c>
      <c r="F133" s="194">
        <v>21400</v>
      </c>
      <c r="G133" s="194">
        <v>26600</v>
      </c>
      <c r="H133" s="194">
        <v>61200</v>
      </c>
    </row>
    <row r="134" spans="2:10" ht="13" outlineLevel="1" thickBot="1" x14ac:dyDescent="0.3">
      <c r="B134" s="210" t="s">
        <v>83</v>
      </c>
      <c r="C134" s="194">
        <v>28.5</v>
      </c>
      <c r="D134" s="194">
        <v>34.5</v>
      </c>
      <c r="E134" s="194">
        <v>43</v>
      </c>
      <c r="F134" s="194">
        <v>48.5</v>
      </c>
      <c r="G134" s="194">
        <v>70.5</v>
      </c>
      <c r="H134" s="194">
        <v>86.5</v>
      </c>
    </row>
    <row r="135" spans="2:10" ht="13" outlineLevel="1" thickBot="1" x14ac:dyDescent="0.3">
      <c r="B135" s="210" t="s">
        <v>84</v>
      </c>
      <c r="C135" s="195">
        <v>36965.763168468759</v>
      </c>
      <c r="D135" s="195">
        <v>41787.384451312508</v>
      </c>
      <c r="E135" s="195">
        <v>44312.995599468763</v>
      </c>
      <c r="F135" s="195">
        <v>49134.616882312512</v>
      </c>
      <c r="G135" s="195">
        <v>61073.869582687512</v>
      </c>
      <c r="H135" s="195">
        <v>140515.82024287502</v>
      </c>
    </row>
    <row r="136" spans="2:10" ht="13" outlineLevel="1" thickBot="1" x14ac:dyDescent="0.3">
      <c r="B136" s="210" t="s">
        <v>85</v>
      </c>
      <c r="C136" s="195">
        <v>47864.218559554698</v>
      </c>
      <c r="D136" s="195">
        <v>54106.778452289072</v>
      </c>
      <c r="E136" s="195">
        <v>57377.498287429698</v>
      </c>
      <c r="F136" s="195">
        <v>63620.058180164073</v>
      </c>
      <c r="G136" s="195">
        <v>79079.137737960948</v>
      </c>
      <c r="H136" s="195">
        <v>181941.47479560942</v>
      </c>
    </row>
    <row r="137" spans="2:10" ht="13" outlineLevel="1" thickBot="1" x14ac:dyDescent="0.3">
      <c r="B137" s="210" t="s">
        <v>86</v>
      </c>
      <c r="C137" s="195">
        <v>19341.806211000003</v>
      </c>
      <c r="D137" s="195">
        <v>22566.645226125001</v>
      </c>
      <c r="E137" s="195">
        <v>24178.462410375003</v>
      </c>
      <c r="F137" s="195">
        <v>27402.096778875002</v>
      </c>
      <c r="G137" s="195">
        <v>32237.548331625003</v>
      </c>
      <c r="H137" s="195">
        <v>79289.840857500007</v>
      </c>
    </row>
    <row r="138" spans="2:10" ht="13" outlineLevel="1" thickBot="1" x14ac:dyDescent="0.3">
      <c r="B138" s="210" t="s">
        <v>87</v>
      </c>
      <c r="C138" s="195">
        <v>46109.054218500001</v>
      </c>
      <c r="D138" s="195">
        <v>55816.09672275</v>
      </c>
      <c r="E138" s="195">
        <v>69567.137947125011</v>
      </c>
      <c r="F138" s="195">
        <v>78465.862566000011</v>
      </c>
      <c r="G138" s="195">
        <v>114058.35174825</v>
      </c>
      <c r="H138" s="195">
        <v>139943.79842625</v>
      </c>
    </row>
    <row r="139" spans="2:10" ht="13.75" customHeight="1" outlineLevel="1" thickBot="1" x14ac:dyDescent="0.3">
      <c r="B139" s="317" t="s">
        <v>303</v>
      </c>
      <c r="C139" s="318"/>
      <c r="D139" s="318"/>
      <c r="E139" s="318"/>
      <c r="F139" s="318"/>
      <c r="G139" s="318"/>
      <c r="H139" s="209"/>
      <c r="I139" s="217"/>
      <c r="J139" s="217"/>
    </row>
    <row r="140" spans="2:10" ht="13" outlineLevel="1" thickBot="1" x14ac:dyDescent="0.3">
      <c r="B140" s="210" t="s">
        <v>300</v>
      </c>
      <c r="C140" s="194">
        <v>21200</v>
      </c>
      <c r="D140" s="194">
        <v>23900</v>
      </c>
      <c r="E140" s="194">
        <v>25300</v>
      </c>
      <c r="F140" s="194">
        <v>28100</v>
      </c>
      <c r="G140" s="194">
        <v>35000</v>
      </c>
      <c r="H140" s="194">
        <v>79200</v>
      </c>
    </row>
    <row r="141" spans="2:10" ht="13" outlineLevel="1" thickBot="1" x14ac:dyDescent="0.3">
      <c r="B141" s="210" t="s">
        <v>83</v>
      </c>
      <c r="C141" s="194">
        <v>43</v>
      </c>
      <c r="D141" s="194">
        <v>50.5</v>
      </c>
      <c r="E141" s="194">
        <v>61.5</v>
      </c>
      <c r="F141" s="194">
        <v>68.5</v>
      </c>
      <c r="G141" s="194">
        <v>99</v>
      </c>
      <c r="H141" s="194">
        <v>125</v>
      </c>
    </row>
    <row r="142" spans="2:10" ht="13" outlineLevel="1" thickBot="1" x14ac:dyDescent="0.3">
      <c r="B142" s="210" t="s">
        <v>84</v>
      </c>
      <c r="C142" s="195">
        <v>48675.414855375013</v>
      </c>
      <c r="D142" s="195">
        <v>54874.642219031266</v>
      </c>
      <c r="E142" s="195">
        <v>58089.056407593765</v>
      </c>
      <c r="F142" s="195">
        <v>64517.884784718764</v>
      </c>
      <c r="G142" s="195">
        <v>80360.354714062516</v>
      </c>
      <c r="H142" s="195">
        <v>181844.00266725005</v>
      </c>
    </row>
    <row r="143" spans="2:10" ht="13" outlineLevel="1" thickBot="1" x14ac:dyDescent="0.3">
      <c r="B143" s="210" t="s">
        <v>85</v>
      </c>
      <c r="C143" s="195">
        <v>63025.478197171891</v>
      </c>
      <c r="D143" s="195">
        <v>71052.837896250014</v>
      </c>
      <c r="E143" s="195">
        <v>75214.897777195336</v>
      </c>
      <c r="F143" s="195">
        <v>83539.017539085951</v>
      </c>
      <c r="G143" s="195">
        <v>104051.49702363284</v>
      </c>
      <c r="H143" s="195">
        <v>235453.67326490631</v>
      </c>
    </row>
    <row r="144" spans="2:10" ht="13" outlineLevel="1" thickBot="1" x14ac:dyDescent="0.3">
      <c r="B144" s="210" t="s">
        <v>86</v>
      </c>
      <c r="C144" s="195">
        <v>19341.806211000003</v>
      </c>
      <c r="D144" s="195">
        <v>22566.645226125001</v>
      </c>
      <c r="E144" s="195">
        <v>24178.462410375003</v>
      </c>
      <c r="F144" s="195">
        <v>27402.096778875002</v>
      </c>
      <c r="G144" s="195">
        <v>32237.548331625003</v>
      </c>
      <c r="H144" s="195">
        <v>79289.840857500007</v>
      </c>
    </row>
    <row r="145" spans="1:10" ht="13" outlineLevel="1" thickBot="1" x14ac:dyDescent="0.3">
      <c r="B145" s="210" t="s">
        <v>87</v>
      </c>
      <c r="C145" s="195">
        <v>69567.137947125011</v>
      </c>
      <c r="D145" s="195">
        <v>81701.543400750001</v>
      </c>
      <c r="E145" s="195">
        <v>99497.787991875011</v>
      </c>
      <c r="F145" s="195">
        <v>110786.53151475001</v>
      </c>
      <c r="G145" s="195">
        <v>160166.20132012502</v>
      </c>
      <c r="H145" s="195">
        <v>202230.05217187502</v>
      </c>
    </row>
    <row r="147" spans="1:10" ht="15.65" customHeight="1" thickBot="1" x14ac:dyDescent="0.35">
      <c r="A147" s="216" t="s">
        <v>309</v>
      </c>
      <c r="B147" s="214"/>
      <c r="C147" s="214"/>
      <c r="D147" s="214"/>
      <c r="E147" s="214"/>
      <c r="F147" s="214"/>
      <c r="G147" s="214"/>
      <c r="H147" s="215"/>
      <c r="I147" s="215"/>
      <c r="J147" s="215"/>
    </row>
    <row r="148" spans="1:10" ht="15.65" customHeight="1" outlineLevel="1" thickBot="1" x14ac:dyDescent="0.3">
      <c r="B148" s="212" t="s">
        <v>299</v>
      </c>
      <c r="C148" s="213" t="s">
        <v>70</v>
      </c>
      <c r="D148" s="213" t="s">
        <v>71</v>
      </c>
      <c r="E148" s="213" t="s">
        <v>72</v>
      </c>
      <c r="F148" s="213" t="s">
        <v>73</v>
      </c>
      <c r="G148" s="213" t="s">
        <v>74</v>
      </c>
    </row>
    <row r="149" spans="1:10" ht="13.75" customHeight="1" outlineLevel="1" thickBot="1" x14ac:dyDescent="0.3">
      <c r="B149" s="317" t="s">
        <v>298</v>
      </c>
      <c r="C149" s="318"/>
      <c r="D149" s="318"/>
      <c r="E149" s="318"/>
      <c r="F149" s="318"/>
      <c r="G149" s="209"/>
      <c r="H149" s="217"/>
      <c r="I149" s="217"/>
      <c r="J149" s="217"/>
    </row>
    <row r="150" spans="1:10" ht="13" outlineLevel="1" thickBot="1" x14ac:dyDescent="0.3">
      <c r="B150" s="210" t="s">
        <v>84</v>
      </c>
      <c r="C150" s="195">
        <v>5412.1992907500016</v>
      </c>
      <c r="D150" s="195">
        <v>10130.684289468752</v>
      </c>
      <c r="E150" s="195">
        <v>10257.149018812503</v>
      </c>
      <c r="F150" s="195">
        <v>13654.507330406253</v>
      </c>
      <c r="G150" s="195">
        <v>14787.778642875004</v>
      </c>
    </row>
    <row r="151" spans="1:10" ht="13.75" customHeight="1" outlineLevel="1" thickBot="1" x14ac:dyDescent="0.3">
      <c r="B151" s="210" t="s">
        <v>85</v>
      </c>
      <c r="C151" s="195">
        <v>13036.245616406253</v>
      </c>
      <c r="D151" s="195">
        <v>13579.952445773441</v>
      </c>
      <c r="E151" s="195">
        <v>15208.953219140629</v>
      </c>
      <c r="F151" s="195">
        <v>21727.076027343755</v>
      </c>
      <c r="G151" s="195">
        <v>32590.614041015633</v>
      </c>
    </row>
    <row r="152" spans="1:10" ht="13" outlineLevel="1" thickBot="1" x14ac:dyDescent="0.3">
      <c r="B152" s="210" t="s">
        <v>86</v>
      </c>
      <c r="C152" s="195">
        <v>5186.0037206249999</v>
      </c>
      <c r="D152" s="195">
        <v>5865.4244171250002</v>
      </c>
      <c r="E152" s="195">
        <v>6420.7665112500008</v>
      </c>
      <c r="F152" s="195">
        <v>7100.1872077500002</v>
      </c>
      <c r="G152" s="195">
        <v>9261.3232530000005</v>
      </c>
    </row>
    <row r="153" spans="1:10" ht="13.75" customHeight="1" outlineLevel="1" thickBot="1" x14ac:dyDescent="0.3">
      <c r="B153" s="317" t="s">
        <v>304</v>
      </c>
      <c r="C153" s="318"/>
      <c r="D153" s="318"/>
      <c r="E153" s="318"/>
      <c r="F153" s="318"/>
      <c r="G153" s="209"/>
      <c r="H153" s="217"/>
      <c r="I153" s="217"/>
      <c r="J153" s="217"/>
    </row>
    <row r="154" spans="1:10" ht="13" outlineLevel="1" thickBot="1" x14ac:dyDescent="0.3">
      <c r="B154" s="210" t="s">
        <v>84</v>
      </c>
      <c r="C154" s="195">
        <v>9502.0440814687518</v>
      </c>
      <c r="D154" s="195">
        <v>17745.579934031255</v>
      </c>
      <c r="E154" s="195">
        <v>17933.435308687505</v>
      </c>
      <c r="F154" s="195">
        <v>23911.656349218756</v>
      </c>
      <c r="G154" s="195">
        <v>25862.651057250005</v>
      </c>
    </row>
    <row r="155" spans="1:10" ht="13" outlineLevel="1" thickBot="1" x14ac:dyDescent="0.3">
      <c r="B155" s="210" t="s">
        <v>85</v>
      </c>
      <c r="C155" s="195">
        <v>22813.429828710941</v>
      </c>
      <c r="D155" s="195">
        <v>23791.678178625007</v>
      </c>
      <c r="E155" s="195">
        <v>26616.198062179694</v>
      </c>
      <c r="F155" s="195">
        <v>38022.383047851574</v>
      </c>
      <c r="G155" s="195">
        <v>57034.104500460948</v>
      </c>
    </row>
    <row r="156" spans="1:10" ht="13" outlineLevel="1" thickBot="1" x14ac:dyDescent="0.3">
      <c r="B156" s="210" t="s">
        <v>86</v>
      </c>
      <c r="C156" s="195">
        <v>9075.8076727500011</v>
      </c>
      <c r="D156" s="195">
        <v>10249.1334855</v>
      </c>
      <c r="E156" s="195">
        <v>11236.943718</v>
      </c>
      <c r="F156" s="195">
        <v>12409.064884125</v>
      </c>
      <c r="G156" s="195">
        <v>16237.431858375001</v>
      </c>
    </row>
    <row r="157" spans="1:10" ht="13.75" customHeight="1" outlineLevel="1" thickBot="1" x14ac:dyDescent="0.3">
      <c r="B157" s="317" t="s">
        <v>303</v>
      </c>
      <c r="C157" s="318"/>
      <c r="D157" s="318"/>
      <c r="E157" s="318"/>
      <c r="F157" s="318"/>
      <c r="G157" s="209"/>
      <c r="H157" s="217"/>
      <c r="I157" s="217"/>
      <c r="J157" s="217"/>
    </row>
    <row r="158" spans="1:10" ht="13" outlineLevel="1" thickBot="1" x14ac:dyDescent="0.3">
      <c r="B158" s="210" t="s">
        <v>84</v>
      </c>
      <c r="C158" s="195">
        <v>10823.170768593753</v>
      </c>
      <c r="D158" s="195">
        <v>20325.214850062504</v>
      </c>
      <c r="E158" s="195">
        <v>20514.298037625005</v>
      </c>
      <c r="F158" s="195">
        <v>27310.242473718758</v>
      </c>
      <c r="G158" s="195">
        <v>29575.557285750008</v>
      </c>
    </row>
    <row r="159" spans="1:10" ht="13" outlineLevel="1" thickBot="1" x14ac:dyDescent="0.3">
      <c r="B159" s="210" t="s">
        <v>85</v>
      </c>
      <c r="C159" s="195">
        <v>26072.491232812506</v>
      </c>
      <c r="D159" s="195">
        <v>27158.845034179692</v>
      </c>
      <c r="E159" s="195">
        <v>30417.906438281258</v>
      </c>
      <c r="F159" s="195">
        <v>43454.152054687511</v>
      </c>
      <c r="G159" s="195">
        <v>65181.228082031266</v>
      </c>
    </row>
    <row r="160" spans="1:10" ht="13" outlineLevel="1" thickBot="1" x14ac:dyDescent="0.3">
      <c r="B160" s="210" t="s">
        <v>86</v>
      </c>
      <c r="C160" s="195">
        <v>10372.00744125</v>
      </c>
      <c r="D160" s="195">
        <v>11730.84883425</v>
      </c>
      <c r="E160" s="195">
        <v>12841.533022500002</v>
      </c>
      <c r="F160" s="195">
        <v>14200.3744155</v>
      </c>
      <c r="G160" s="195">
        <v>18521.441859375002</v>
      </c>
    </row>
    <row r="162" spans="1:7" ht="15.5" thickBot="1" x14ac:dyDescent="0.35">
      <c r="A162" s="216" t="s">
        <v>310</v>
      </c>
      <c r="B162" s="214"/>
      <c r="C162" s="214"/>
      <c r="D162" s="214"/>
      <c r="E162" s="215"/>
      <c r="F162" s="215"/>
      <c r="G162" s="215"/>
    </row>
    <row r="163" spans="1:7" ht="13" outlineLevel="1" thickBot="1" x14ac:dyDescent="0.3">
      <c r="B163" s="212" t="s">
        <v>299</v>
      </c>
      <c r="C163" s="213" t="s">
        <v>70</v>
      </c>
      <c r="D163" s="213" t="s">
        <v>71</v>
      </c>
      <c r="F163" s="196"/>
      <c r="G163" s="196"/>
    </row>
    <row r="164" spans="1:7" ht="15" customHeight="1" outlineLevel="1" thickBot="1" x14ac:dyDescent="0.3">
      <c r="B164" s="317" t="s">
        <v>298</v>
      </c>
      <c r="C164" s="318"/>
      <c r="D164" s="209"/>
      <c r="F164" s="196"/>
      <c r="G164" s="196"/>
    </row>
    <row r="165" spans="1:7" ht="13" outlineLevel="1" thickBot="1" x14ac:dyDescent="0.3">
      <c r="B165" s="210" t="s">
        <v>84</v>
      </c>
      <c r="C165" s="195">
        <v>8936.0223316875017</v>
      </c>
      <c r="D165" s="195">
        <v>16738.773350906253</v>
      </c>
      <c r="F165" s="196"/>
      <c r="G165" s="196"/>
    </row>
    <row r="166" spans="1:7" ht="13" outlineLevel="1" thickBot="1" x14ac:dyDescent="0.3">
      <c r="B166" s="210" t="s">
        <v>85</v>
      </c>
      <c r="C166" s="195">
        <v>21509.805267070318</v>
      </c>
      <c r="D166" s="195">
        <v>22432.941033890631</v>
      </c>
      <c r="F166" s="196"/>
      <c r="G166" s="196"/>
    </row>
    <row r="167" spans="1:7" ht="13" outlineLevel="1" thickBot="1" x14ac:dyDescent="0.3">
      <c r="B167" s="210" t="s">
        <v>86</v>
      </c>
      <c r="C167" s="195">
        <v>8581.9025565000011</v>
      </c>
      <c r="D167" s="195">
        <v>9692.5867447500004</v>
      </c>
      <c r="F167" s="196"/>
      <c r="G167" s="196"/>
    </row>
    <row r="168" spans="1:7" ht="13.75" customHeight="1" outlineLevel="1" thickBot="1" x14ac:dyDescent="0.3">
      <c r="B168" s="317" t="s">
        <v>304</v>
      </c>
      <c r="C168" s="318"/>
      <c r="D168" s="209"/>
      <c r="F168" s="196"/>
      <c r="G168" s="196"/>
    </row>
    <row r="169" spans="1:7" ht="13" outlineLevel="1" thickBot="1" x14ac:dyDescent="0.3">
      <c r="B169" s="210" t="s">
        <v>84</v>
      </c>
      <c r="C169" s="195">
        <v>15668.120496656253</v>
      </c>
      <c r="D169" s="195">
        <v>29260.009368843756</v>
      </c>
      <c r="F169" s="196"/>
      <c r="G169" s="196"/>
    </row>
    <row r="170" spans="1:7" ht="13" outlineLevel="1" thickBot="1" x14ac:dyDescent="0.3">
      <c r="B170" s="210" t="s">
        <v>85</v>
      </c>
      <c r="C170" s="195">
        <v>37641.894253031256</v>
      </c>
      <c r="D170" s="195">
        <v>39271.954883765633</v>
      </c>
      <c r="F170" s="196"/>
      <c r="G170" s="196"/>
    </row>
    <row r="171" spans="1:7" ht="13" outlineLevel="1" thickBot="1" x14ac:dyDescent="0.3">
      <c r="B171" s="210" t="s">
        <v>86</v>
      </c>
      <c r="C171" s="195">
        <v>15002.669067750001</v>
      </c>
      <c r="D171" s="195">
        <v>16916.852554875</v>
      </c>
      <c r="F171" s="196"/>
      <c r="G171" s="196"/>
    </row>
    <row r="172" spans="1:7" ht="13.75" customHeight="1" outlineLevel="1" thickBot="1" x14ac:dyDescent="0.3">
      <c r="B172" s="317" t="s">
        <v>303</v>
      </c>
      <c r="C172" s="318"/>
      <c r="D172" s="209"/>
      <c r="F172" s="196"/>
      <c r="G172" s="196"/>
    </row>
    <row r="173" spans="1:7" ht="13" outlineLevel="1" thickBot="1" x14ac:dyDescent="0.3">
      <c r="B173" s="210" t="s">
        <v>84</v>
      </c>
      <c r="C173" s="195">
        <v>17870.816850468753</v>
      </c>
      <c r="D173" s="195">
        <v>33538.937347125007</v>
      </c>
      <c r="F173" s="196"/>
      <c r="G173" s="196"/>
    </row>
    <row r="174" spans="1:7" ht="13" outlineLevel="1" thickBot="1" x14ac:dyDescent="0.3">
      <c r="B174" s="210" t="s">
        <v>85</v>
      </c>
      <c r="C174" s="195">
        <v>43019.610534140636</v>
      </c>
      <c r="D174" s="195">
        <v>44811.829342054698</v>
      </c>
      <c r="F174" s="196"/>
      <c r="G174" s="196"/>
    </row>
    <row r="175" spans="1:7" ht="13" outlineLevel="1" thickBot="1" x14ac:dyDescent="0.3">
      <c r="B175" s="210" t="s">
        <v>86</v>
      </c>
      <c r="C175" s="195">
        <v>17462.557476000002</v>
      </c>
      <c r="D175" s="195">
        <v>19386.378136125</v>
      </c>
      <c r="F175" s="196"/>
      <c r="G175" s="196"/>
    </row>
    <row r="176" spans="1:7" x14ac:dyDescent="0.25">
      <c r="F176" s="196"/>
      <c r="G176" s="196"/>
    </row>
    <row r="177" spans="1:10" ht="15.65" customHeight="1" thickBot="1" x14ac:dyDescent="0.35">
      <c r="A177" s="216" t="s">
        <v>311</v>
      </c>
      <c r="B177" s="214"/>
      <c r="C177" s="214"/>
      <c r="D177" s="214"/>
      <c r="E177" s="214"/>
      <c r="F177" s="214"/>
      <c r="G177" s="214"/>
      <c r="I177" s="215"/>
      <c r="J177" s="215"/>
    </row>
    <row r="178" spans="1:10" ht="15.65" customHeight="1" outlineLevel="1" thickBot="1" x14ac:dyDescent="0.3">
      <c r="B178" s="285" t="s">
        <v>299</v>
      </c>
      <c r="C178" s="278" t="s">
        <v>97</v>
      </c>
      <c r="D178" s="278" t="s">
        <v>98</v>
      </c>
      <c r="E178" s="278" t="s">
        <v>99</v>
      </c>
      <c r="F178" s="278" t="s">
        <v>100</v>
      </c>
      <c r="G178" s="278" t="s">
        <v>278</v>
      </c>
    </row>
    <row r="179" spans="1:10" ht="13.75" customHeight="1" outlineLevel="1" thickBot="1" x14ac:dyDescent="0.3">
      <c r="B179" s="317" t="s">
        <v>298</v>
      </c>
      <c r="C179" s="318"/>
      <c r="D179" s="318"/>
      <c r="E179" s="318"/>
      <c r="F179" s="318"/>
      <c r="G179" s="209"/>
      <c r="I179" s="217"/>
      <c r="J179" s="217"/>
    </row>
    <row r="180" spans="1:10" ht="13" outlineLevel="1" thickBot="1" x14ac:dyDescent="0.3">
      <c r="B180" s="218" t="s">
        <v>300</v>
      </c>
      <c r="C180" s="219">
        <v>14773</v>
      </c>
      <c r="D180" s="219">
        <v>19943</v>
      </c>
      <c r="E180" s="219">
        <v>21938</v>
      </c>
      <c r="F180" s="219">
        <v>26325</v>
      </c>
      <c r="G180" s="219">
        <v>54550</v>
      </c>
    </row>
    <row r="181" spans="1:10" ht="13" outlineLevel="1" thickBot="1" x14ac:dyDescent="0.3">
      <c r="B181" s="218" t="s">
        <v>83</v>
      </c>
      <c r="C181" s="219">
        <v>17</v>
      </c>
      <c r="D181" s="219">
        <v>23</v>
      </c>
      <c r="E181" s="219">
        <v>26</v>
      </c>
      <c r="F181" s="219">
        <v>31</v>
      </c>
      <c r="G181" s="219">
        <v>63</v>
      </c>
    </row>
    <row r="182" spans="1:10" ht="13" outlineLevel="1" thickBot="1" x14ac:dyDescent="0.3">
      <c r="B182" s="211" t="s">
        <v>84</v>
      </c>
      <c r="C182" s="195">
        <v>40715.503784156259</v>
      </c>
      <c r="D182" s="195">
        <v>54965.500374093761</v>
      </c>
      <c r="E182" s="195">
        <v>60462.418755375016</v>
      </c>
      <c r="F182" s="195">
        <v>72555.14806903126</v>
      </c>
      <c r="G182" s="195">
        <v>150028.91464050004</v>
      </c>
    </row>
    <row r="183" spans="1:10" ht="13.75" customHeight="1" outlineLevel="1" thickBot="1" x14ac:dyDescent="0.3">
      <c r="B183" s="210" t="s">
        <v>85</v>
      </c>
      <c r="C183" s="195">
        <v>52719.425158640639</v>
      </c>
      <c r="D183" s="195">
        <v>71170.482064007825</v>
      </c>
      <c r="E183" s="195">
        <v>78287.424284671899</v>
      </c>
      <c r="F183" s="195">
        <v>93945.757027500018</v>
      </c>
      <c r="G183" s="195">
        <v>194259.13711706255</v>
      </c>
    </row>
    <row r="184" spans="1:10" ht="13" outlineLevel="1" thickBot="1" x14ac:dyDescent="0.3">
      <c r="B184" s="210" t="s">
        <v>86</v>
      </c>
      <c r="C184" s="195">
        <v>5390.7936468750004</v>
      </c>
      <c r="D184" s="195">
        <v>6866.4857625000004</v>
      </c>
      <c r="E184" s="195">
        <v>7468.8090750000001</v>
      </c>
      <c r="F184" s="195">
        <v>7830.2030625000007</v>
      </c>
      <c r="G184" s="195">
        <v>30457.080619875003</v>
      </c>
    </row>
    <row r="185" spans="1:10" ht="13" outlineLevel="1" thickBot="1" x14ac:dyDescent="0.3">
      <c r="B185" s="210" t="s">
        <v>87</v>
      </c>
      <c r="C185" s="195">
        <v>27557.496193500003</v>
      </c>
      <c r="D185" s="195">
        <v>37203.101719875005</v>
      </c>
      <c r="E185" s="195">
        <v>41449.481073000003</v>
      </c>
      <c r="F185" s="195">
        <v>49739.859146250004</v>
      </c>
      <c r="G185" s="195">
        <v>101922.74164800001</v>
      </c>
    </row>
    <row r="186" spans="1:10" ht="13.75" customHeight="1" outlineLevel="1" thickBot="1" x14ac:dyDescent="0.3">
      <c r="B186" s="317" t="s">
        <v>304</v>
      </c>
      <c r="C186" s="318"/>
      <c r="D186" s="318"/>
      <c r="E186" s="318"/>
      <c r="F186" s="318"/>
      <c r="G186" s="209"/>
      <c r="I186" s="217"/>
      <c r="J186" s="217"/>
    </row>
    <row r="187" spans="1:10" ht="13" outlineLevel="1" thickBot="1" x14ac:dyDescent="0.3">
      <c r="B187" s="218" t="s">
        <v>300</v>
      </c>
      <c r="C187" s="219">
        <v>25126</v>
      </c>
      <c r="D187" s="219">
        <v>33920</v>
      </c>
      <c r="E187" s="219">
        <v>37313</v>
      </c>
      <c r="F187" s="219">
        <v>44775</v>
      </c>
      <c r="G187" s="219">
        <v>156450</v>
      </c>
    </row>
    <row r="188" spans="1:10" ht="13" outlineLevel="1" thickBot="1" x14ac:dyDescent="0.3">
      <c r="B188" s="218" t="s">
        <v>83</v>
      </c>
      <c r="C188" s="219">
        <v>23</v>
      </c>
      <c r="D188" s="219">
        <v>31</v>
      </c>
      <c r="E188" s="219">
        <v>34</v>
      </c>
      <c r="F188" s="219">
        <v>41</v>
      </c>
      <c r="G188" s="219">
        <v>90</v>
      </c>
    </row>
    <row r="189" spans="1:10" ht="13" outlineLevel="1" thickBot="1" x14ac:dyDescent="0.3">
      <c r="B189" s="211" t="s">
        <v>84</v>
      </c>
      <c r="C189" s="195">
        <v>69251.103538312513</v>
      </c>
      <c r="D189" s="195">
        <v>93489.358120593766</v>
      </c>
      <c r="E189" s="195">
        <v>102837.92558878128</v>
      </c>
      <c r="F189" s="195">
        <v>123406.24739428128</v>
      </c>
      <c r="G189" s="195">
        <v>430284.57736950013</v>
      </c>
    </row>
    <row r="190" spans="1:10" ht="13" outlineLevel="1" thickBot="1" x14ac:dyDescent="0.3">
      <c r="B190" s="210" t="s">
        <v>85</v>
      </c>
      <c r="C190" s="195">
        <v>89667.112836164088</v>
      </c>
      <c r="D190" s="195">
        <v>121050.54933595315</v>
      </c>
      <c r="E190" s="195">
        <v>133156.24018396877</v>
      </c>
      <c r="F190" s="195">
        <v>159787.27624928911</v>
      </c>
      <c r="G190" s="195">
        <v>557137.34192418761</v>
      </c>
    </row>
    <row r="191" spans="1:10" ht="13" outlineLevel="1" thickBot="1" x14ac:dyDescent="0.3">
      <c r="B191" s="210" t="s">
        <v>86</v>
      </c>
      <c r="C191" s="195">
        <v>6738.7932202500006</v>
      </c>
      <c r="D191" s="195">
        <v>8583.1072031250005</v>
      </c>
      <c r="E191" s="195">
        <v>9336.0113437500004</v>
      </c>
      <c r="F191" s="195">
        <v>9787.7538281249999</v>
      </c>
      <c r="G191" s="195">
        <v>30457.080619875003</v>
      </c>
    </row>
    <row r="192" spans="1:10" ht="13" outlineLevel="1" thickBot="1" x14ac:dyDescent="0.3">
      <c r="B192" s="210" t="s">
        <v>87</v>
      </c>
      <c r="C192" s="195">
        <v>37103.116050000004</v>
      </c>
      <c r="D192" s="195">
        <v>50088.002020875007</v>
      </c>
      <c r="E192" s="195">
        <v>55096.922687625003</v>
      </c>
      <c r="F192" s="195">
        <v>66117.030013125011</v>
      </c>
      <c r="G192" s="195">
        <v>145628.525849625</v>
      </c>
    </row>
    <row r="193" spans="1:10" ht="13.75" customHeight="1" outlineLevel="1" thickBot="1" x14ac:dyDescent="0.3">
      <c r="B193" s="317" t="s">
        <v>302</v>
      </c>
      <c r="C193" s="318"/>
      <c r="D193" s="318"/>
      <c r="E193" s="318"/>
      <c r="F193" s="318"/>
      <c r="G193" s="209"/>
      <c r="I193" s="217"/>
      <c r="J193" s="217"/>
    </row>
    <row r="194" spans="1:10" ht="13" outlineLevel="1" thickBot="1" x14ac:dyDescent="0.3">
      <c r="B194" s="218" t="s">
        <v>300</v>
      </c>
      <c r="C194" s="219">
        <v>28072</v>
      </c>
      <c r="D194" s="219">
        <v>37898</v>
      </c>
      <c r="E194" s="219">
        <v>41688</v>
      </c>
      <c r="F194" s="219">
        <v>50025</v>
      </c>
      <c r="G194" s="219">
        <v>162409</v>
      </c>
    </row>
    <row r="195" spans="1:10" ht="13" outlineLevel="1" thickBot="1" x14ac:dyDescent="0.3">
      <c r="B195" s="218" t="s">
        <v>83</v>
      </c>
      <c r="C195" s="219">
        <v>25</v>
      </c>
      <c r="D195" s="219">
        <v>34</v>
      </c>
      <c r="E195" s="219">
        <v>38</v>
      </c>
      <c r="F195" s="219">
        <v>45</v>
      </c>
      <c r="G195" s="219">
        <v>168</v>
      </c>
    </row>
    <row r="196" spans="1:10" ht="13" outlineLevel="1" thickBot="1" x14ac:dyDescent="0.3">
      <c r="B196" s="211" t="s">
        <v>84</v>
      </c>
      <c r="C196" s="195">
        <v>77370.630287343767</v>
      </c>
      <c r="D196" s="195">
        <v>104451.27174759377</v>
      </c>
      <c r="E196" s="195">
        <v>114896.27614106252</v>
      </c>
      <c r="F196" s="195">
        <v>137876.02249443752</v>
      </c>
      <c r="G196" s="195">
        <v>446673.42404212512</v>
      </c>
    </row>
    <row r="197" spans="1:10" ht="13" outlineLevel="1" thickBot="1" x14ac:dyDescent="0.3">
      <c r="B197" s="210" t="s">
        <v>85</v>
      </c>
      <c r="C197" s="195">
        <v>100180.89791866408</v>
      </c>
      <c r="D197" s="195">
        <v>135244.15919732815</v>
      </c>
      <c r="E197" s="195">
        <v>148768.99906000783</v>
      </c>
      <c r="F197" s="195">
        <v>178522.37492906253</v>
      </c>
      <c r="G197" s="195">
        <v>578356.74627264857</v>
      </c>
    </row>
    <row r="198" spans="1:10" ht="13" outlineLevel="1" thickBot="1" x14ac:dyDescent="0.3">
      <c r="B198" s="210" t="s">
        <v>86</v>
      </c>
      <c r="C198" s="195">
        <v>10631.006465625002</v>
      </c>
      <c r="D198" s="195">
        <v>25749.321609375002</v>
      </c>
      <c r="E198" s="195">
        <v>28008.034031250001</v>
      </c>
      <c r="F198" s="195">
        <v>29363.261484375002</v>
      </c>
      <c r="G198" s="195">
        <v>121825.91318625001</v>
      </c>
    </row>
    <row r="199" spans="1:10" ht="13" outlineLevel="1" thickBot="1" x14ac:dyDescent="0.3">
      <c r="B199" s="210" t="s">
        <v>87</v>
      </c>
      <c r="C199" s="195">
        <v>40847.157760500006</v>
      </c>
      <c r="D199" s="195">
        <v>55143.903906000007</v>
      </c>
      <c r="E199" s="195">
        <v>60657.571508625006</v>
      </c>
      <c r="F199" s="195">
        <v>72789.567669000011</v>
      </c>
      <c r="G199" s="195">
        <v>271794.78082575003</v>
      </c>
    </row>
    <row r="200" spans="1:10" ht="13.75" customHeight="1" outlineLevel="1" thickBot="1" x14ac:dyDescent="0.3">
      <c r="B200" s="317" t="s">
        <v>303</v>
      </c>
      <c r="C200" s="318"/>
      <c r="D200" s="318"/>
      <c r="E200" s="318"/>
      <c r="F200" s="318"/>
      <c r="G200" s="209"/>
      <c r="I200" s="217"/>
      <c r="J200" s="217"/>
    </row>
    <row r="201" spans="1:10" ht="13" outlineLevel="1" thickBot="1" x14ac:dyDescent="0.3">
      <c r="B201" s="218" t="s">
        <v>300</v>
      </c>
      <c r="C201" s="219">
        <v>33965</v>
      </c>
      <c r="D201" s="219">
        <v>45852</v>
      </c>
      <c r="E201" s="219">
        <v>50438</v>
      </c>
      <c r="F201" s="219">
        <v>60525</v>
      </c>
      <c r="G201" s="219">
        <v>162409</v>
      </c>
    </row>
    <row r="202" spans="1:10" ht="13" outlineLevel="1" thickBot="1" x14ac:dyDescent="0.3">
      <c r="B202" s="218" t="s">
        <v>83</v>
      </c>
      <c r="C202" s="219">
        <v>30</v>
      </c>
      <c r="D202" s="219">
        <v>41</v>
      </c>
      <c r="E202" s="219">
        <v>45</v>
      </c>
      <c r="F202" s="219">
        <v>54</v>
      </c>
      <c r="G202" s="219">
        <v>168</v>
      </c>
    </row>
    <row r="203" spans="1:10" ht="13" outlineLevel="1" thickBot="1" x14ac:dyDescent="0.3">
      <c r="B203" s="211" t="s">
        <v>84</v>
      </c>
      <c r="C203" s="195">
        <v>93610.911598312523</v>
      </c>
      <c r="D203" s="195">
        <v>126375.09900159379</v>
      </c>
      <c r="E203" s="195">
        <v>139012.97724562502</v>
      </c>
      <c r="F203" s="195">
        <v>166814.34488184378</v>
      </c>
      <c r="G203" s="195">
        <v>446673.42404212512</v>
      </c>
    </row>
    <row r="204" spans="1:10" ht="13" outlineLevel="1" thickBot="1" x14ac:dyDescent="0.3">
      <c r="B204" s="210" t="s">
        <v>85</v>
      </c>
      <c r="C204" s="195">
        <v>121208.46808366409</v>
      </c>
      <c r="D204" s="195">
        <v>163631.37892007816</v>
      </c>
      <c r="E204" s="195">
        <v>179994.51681208599</v>
      </c>
      <c r="F204" s="195">
        <v>215993.63214597662</v>
      </c>
      <c r="G204" s="195">
        <v>578356.74627264857</v>
      </c>
    </row>
    <row r="205" spans="1:10" ht="13" outlineLevel="1" thickBot="1" x14ac:dyDescent="0.3">
      <c r="B205" s="210" t="s">
        <v>86</v>
      </c>
      <c r="C205" s="195">
        <v>10631.006465625002</v>
      </c>
      <c r="D205" s="195">
        <v>25749.321609375002</v>
      </c>
      <c r="E205" s="195">
        <v>28008.034031250001</v>
      </c>
      <c r="F205" s="195">
        <v>29363.261484375002</v>
      </c>
      <c r="G205" s="195">
        <v>121825.91318625001</v>
      </c>
    </row>
    <row r="206" spans="1:10" ht="13" outlineLevel="1" thickBot="1" x14ac:dyDescent="0.3">
      <c r="B206" s="210" t="s">
        <v>87</v>
      </c>
      <c r="C206" s="195">
        <v>49015.866524625002</v>
      </c>
      <c r="D206" s="195">
        <v>66172.443757875008</v>
      </c>
      <c r="E206" s="195">
        <v>72789.567669000011</v>
      </c>
      <c r="F206" s="195">
        <v>87347.722132125011</v>
      </c>
      <c r="G206" s="195">
        <v>271794.78082575003</v>
      </c>
    </row>
    <row r="208" spans="1:10" ht="15.65" customHeight="1" thickBot="1" x14ac:dyDescent="0.35">
      <c r="A208" s="216" t="s">
        <v>312</v>
      </c>
      <c r="B208" s="214"/>
      <c r="C208" s="214"/>
      <c r="D208" s="214"/>
      <c r="E208" s="214"/>
      <c r="F208" s="214"/>
      <c r="G208" s="214"/>
      <c r="I208" s="215"/>
      <c r="J208" s="215"/>
    </row>
    <row r="209" spans="2:10" ht="15.65" customHeight="1" outlineLevel="1" thickBot="1" x14ac:dyDescent="0.3">
      <c r="B209" s="285" t="s">
        <v>299</v>
      </c>
      <c r="C209" s="278" t="s">
        <v>97</v>
      </c>
      <c r="D209" s="278" t="s">
        <v>98</v>
      </c>
      <c r="E209" s="278" t="s">
        <v>99</v>
      </c>
      <c r="F209" s="278" t="s">
        <v>100</v>
      </c>
      <c r="G209" s="278" t="s">
        <v>278</v>
      </c>
    </row>
    <row r="210" spans="2:10" ht="13.75" customHeight="1" outlineLevel="1" thickBot="1" x14ac:dyDescent="0.3">
      <c r="B210" s="317" t="s">
        <v>298</v>
      </c>
      <c r="C210" s="318"/>
      <c r="D210" s="318"/>
      <c r="E210" s="318"/>
      <c r="F210" s="318"/>
      <c r="G210" s="209"/>
      <c r="I210" s="217"/>
      <c r="J210" s="217"/>
    </row>
    <row r="211" spans="2:10" ht="13" outlineLevel="1" thickBot="1" x14ac:dyDescent="0.3">
      <c r="B211" s="218" t="s">
        <v>300</v>
      </c>
      <c r="C211" s="219">
        <v>10227</v>
      </c>
      <c r="D211" s="219">
        <v>15341</v>
      </c>
      <c r="E211" s="219">
        <v>16875</v>
      </c>
      <c r="F211" s="219">
        <v>20250</v>
      </c>
      <c r="G211" s="219">
        <v>36036</v>
      </c>
    </row>
    <row r="212" spans="2:10" ht="13" outlineLevel="1" thickBot="1" x14ac:dyDescent="0.3">
      <c r="B212" s="218" t="s">
        <v>83</v>
      </c>
      <c r="C212" s="219">
        <v>13</v>
      </c>
      <c r="D212" s="219">
        <v>19</v>
      </c>
      <c r="E212" s="219">
        <v>21</v>
      </c>
      <c r="F212" s="219">
        <v>25</v>
      </c>
      <c r="G212" s="219">
        <v>43</v>
      </c>
    </row>
    <row r="213" spans="2:10" ht="13" outlineLevel="1" thickBot="1" x14ac:dyDescent="0.3">
      <c r="B213" s="211" t="s">
        <v>84</v>
      </c>
      <c r="C213" s="195">
        <v>23425.442438343754</v>
      </c>
      <c r="D213" s="195">
        <v>35137.549751062506</v>
      </c>
      <c r="E213" s="195">
        <v>38651.550288750012</v>
      </c>
      <c r="F213" s="195">
        <v>46381.860346500012</v>
      </c>
      <c r="G213" s="195">
        <v>141673.64781346879</v>
      </c>
    </row>
    <row r="214" spans="2:10" ht="13.75" customHeight="1" outlineLevel="1" thickBot="1" x14ac:dyDescent="0.3">
      <c r="B214" s="210" t="s">
        <v>85</v>
      </c>
      <c r="C214" s="195">
        <v>30330.998134171881</v>
      </c>
      <c r="D214" s="195">
        <v>45497.557058625011</v>
      </c>
      <c r="E214" s="195">
        <v>50046.464878593761</v>
      </c>
      <c r="F214" s="195">
        <v>60056.817711679701</v>
      </c>
      <c r="G214" s="195">
        <v>183441.17297017973</v>
      </c>
    </row>
    <row r="215" spans="2:10" ht="13" outlineLevel="1" thickBot="1" x14ac:dyDescent="0.3">
      <c r="B215" s="210" t="s">
        <v>86</v>
      </c>
      <c r="C215" s="195">
        <v>5390.7936468750004</v>
      </c>
      <c r="D215" s="195">
        <v>6866.4857625000004</v>
      </c>
      <c r="E215" s="195">
        <v>7468.8090750000001</v>
      </c>
      <c r="F215" s="195">
        <v>7830.2030625000007</v>
      </c>
      <c r="G215" s="195">
        <v>19979.064275625002</v>
      </c>
    </row>
    <row r="216" spans="2:10" ht="13" outlineLevel="1" thickBot="1" x14ac:dyDescent="0.3">
      <c r="B216" s="210" t="s">
        <v>87</v>
      </c>
      <c r="C216" s="195">
        <v>20525.973843375003</v>
      </c>
      <c r="D216" s="195">
        <v>30788.358441750002</v>
      </c>
      <c r="E216" s="195">
        <v>33867.43521525</v>
      </c>
      <c r="F216" s="195">
        <v>40641.163187625003</v>
      </c>
      <c r="G216" s="195">
        <v>82576.11685050001</v>
      </c>
    </row>
    <row r="217" spans="2:10" ht="13.75" customHeight="1" outlineLevel="1" thickBot="1" x14ac:dyDescent="0.3">
      <c r="B217" s="317" t="s">
        <v>304</v>
      </c>
      <c r="C217" s="318"/>
      <c r="D217" s="318"/>
      <c r="E217" s="318"/>
      <c r="F217" s="318"/>
      <c r="G217" s="209"/>
      <c r="I217" s="217"/>
      <c r="J217" s="217"/>
    </row>
    <row r="218" spans="2:10" ht="13" outlineLevel="1" thickBot="1" x14ac:dyDescent="0.3">
      <c r="B218" s="218" t="s">
        <v>300</v>
      </c>
      <c r="C218" s="219">
        <v>16751</v>
      </c>
      <c r="D218" s="219">
        <v>22614</v>
      </c>
      <c r="E218" s="219">
        <v>24875</v>
      </c>
      <c r="F218" s="219">
        <v>29850</v>
      </c>
      <c r="G218" s="219">
        <v>93870</v>
      </c>
    </row>
    <row r="219" spans="2:10" ht="13" outlineLevel="1" thickBot="1" x14ac:dyDescent="0.3">
      <c r="B219" s="218" t="s">
        <v>83</v>
      </c>
      <c r="C219" s="219">
        <v>31</v>
      </c>
      <c r="D219" s="219">
        <v>41</v>
      </c>
      <c r="E219" s="219">
        <v>45</v>
      </c>
      <c r="F219" s="219">
        <v>54</v>
      </c>
      <c r="G219" s="219">
        <v>90</v>
      </c>
    </row>
    <row r="220" spans="2:10" ht="13" outlineLevel="1" thickBot="1" x14ac:dyDescent="0.3">
      <c r="B220" s="211" t="s">
        <v>84</v>
      </c>
      <c r="C220" s="195">
        <v>38367.92550740626</v>
      </c>
      <c r="D220" s="195">
        <v>51796.515263062509</v>
      </c>
      <c r="E220" s="195">
        <v>56975.43010162501</v>
      </c>
      <c r="F220" s="195">
        <v>68370.761684531259</v>
      </c>
      <c r="G220" s="195">
        <v>251879.67865265629</v>
      </c>
    </row>
    <row r="221" spans="2:10" ht="13" outlineLevel="1" thickBot="1" x14ac:dyDescent="0.3">
      <c r="B221" s="210" t="s">
        <v>85</v>
      </c>
      <c r="C221" s="195">
        <v>49678.6943721797</v>
      </c>
      <c r="D221" s="195">
        <v>67066.714338257822</v>
      </c>
      <c r="E221" s="195">
        <v>73772.431900453143</v>
      </c>
      <c r="F221" s="195">
        <v>88527.766166437519</v>
      </c>
      <c r="G221" s="195">
        <v>326130.83017200005</v>
      </c>
    </row>
    <row r="222" spans="2:10" ht="13" outlineLevel="1" thickBot="1" x14ac:dyDescent="0.3">
      <c r="B222" s="210" t="s">
        <v>86</v>
      </c>
      <c r="C222" s="195">
        <v>6738.7932202500006</v>
      </c>
      <c r="D222" s="195">
        <v>8583.1072031250005</v>
      </c>
      <c r="E222" s="195">
        <v>9336.0113437500004</v>
      </c>
      <c r="F222" s="195">
        <v>9787.7538281249999</v>
      </c>
      <c r="G222" s="195">
        <v>21154.799381625002</v>
      </c>
    </row>
    <row r="223" spans="2:10" ht="13" outlineLevel="1" thickBot="1" x14ac:dyDescent="0.3">
      <c r="B223" s="210" t="s">
        <v>87</v>
      </c>
      <c r="C223" s="195">
        <v>49356.7815195</v>
      </c>
      <c r="D223" s="195">
        <v>66631.414122000002</v>
      </c>
      <c r="E223" s="195">
        <v>73294.314604875006</v>
      </c>
      <c r="F223" s="195">
        <v>87953.659384500002</v>
      </c>
      <c r="G223" s="195">
        <v>174626.77940662502</v>
      </c>
    </row>
    <row r="224" spans="2:10" ht="13.75" customHeight="1" outlineLevel="1" thickBot="1" x14ac:dyDescent="0.3">
      <c r="B224" s="317" t="s">
        <v>302</v>
      </c>
      <c r="C224" s="318"/>
      <c r="D224" s="318"/>
      <c r="E224" s="318"/>
      <c r="F224" s="318"/>
      <c r="G224" s="209"/>
      <c r="I224" s="217"/>
      <c r="J224" s="217"/>
    </row>
    <row r="225" spans="1:10" ht="13" outlineLevel="1" thickBot="1" x14ac:dyDescent="0.3">
      <c r="B225" s="218" t="s">
        <v>300</v>
      </c>
      <c r="C225" s="219">
        <v>19318</v>
      </c>
      <c r="D225" s="219">
        <v>26080</v>
      </c>
      <c r="E225" s="219">
        <v>28688</v>
      </c>
      <c r="F225" s="219">
        <v>34425</v>
      </c>
      <c r="G225" s="219">
        <v>113687</v>
      </c>
    </row>
    <row r="226" spans="1:10" ht="13" outlineLevel="1" thickBot="1" x14ac:dyDescent="0.3">
      <c r="B226" s="218" t="s">
        <v>83</v>
      </c>
      <c r="C226" s="219">
        <v>40</v>
      </c>
      <c r="D226" s="219">
        <v>55</v>
      </c>
      <c r="E226" s="219">
        <v>60</v>
      </c>
      <c r="F226" s="219">
        <v>72</v>
      </c>
      <c r="G226" s="219">
        <v>176</v>
      </c>
    </row>
    <row r="227" spans="1:10" ht="13" outlineLevel="1" thickBot="1" x14ac:dyDescent="0.3">
      <c r="B227" s="211" t="s">
        <v>84</v>
      </c>
      <c r="C227" s="195">
        <v>44247.921515437512</v>
      </c>
      <c r="D227" s="195">
        <v>59734.325701968766</v>
      </c>
      <c r="E227" s="195">
        <v>65708.863303781269</v>
      </c>
      <c r="F227" s="195">
        <v>78850.144839375018</v>
      </c>
      <c r="G227" s="195">
        <v>305046.43311909382</v>
      </c>
    </row>
    <row r="228" spans="1:10" ht="13" outlineLevel="1" thickBot="1" x14ac:dyDescent="0.3">
      <c r="B228" s="210" t="s">
        <v>85</v>
      </c>
      <c r="C228" s="195">
        <v>57292.709698054699</v>
      </c>
      <c r="D228" s="195">
        <v>77345.211085242205</v>
      </c>
      <c r="E228" s="195">
        <v>85080.050150976575</v>
      </c>
      <c r="F228" s="195">
        <v>102096.0601811719</v>
      </c>
      <c r="G228" s="195">
        <v>394977.04502976569</v>
      </c>
    </row>
    <row r="229" spans="1:10" ht="13" outlineLevel="1" thickBot="1" x14ac:dyDescent="0.3">
      <c r="B229" s="210" t="s">
        <v>86</v>
      </c>
      <c r="C229" s="195">
        <v>10631.006465625002</v>
      </c>
      <c r="D229" s="195">
        <v>25749.321609375002</v>
      </c>
      <c r="E229" s="195">
        <v>28008.034031250001</v>
      </c>
      <c r="F229" s="195">
        <v>29363.261484375002</v>
      </c>
      <c r="G229" s="195">
        <v>103893.54352650001</v>
      </c>
    </row>
    <row r="230" spans="1:10" ht="13" outlineLevel="1" thickBot="1" x14ac:dyDescent="0.3">
      <c r="B230" s="210" t="s">
        <v>87</v>
      </c>
      <c r="C230" s="195">
        <v>65355.693346125001</v>
      </c>
      <c r="D230" s="195">
        <v>88229.523461625009</v>
      </c>
      <c r="E230" s="195">
        <v>97052.355343125004</v>
      </c>
      <c r="F230" s="195">
        <v>116462.82641175001</v>
      </c>
      <c r="G230" s="195">
        <v>338774.337822375</v>
      </c>
    </row>
    <row r="231" spans="1:10" ht="13.75" customHeight="1" outlineLevel="1" thickBot="1" x14ac:dyDescent="0.3">
      <c r="B231" s="317" t="s">
        <v>303</v>
      </c>
      <c r="C231" s="318"/>
      <c r="D231" s="318"/>
      <c r="E231" s="318"/>
      <c r="F231" s="318"/>
      <c r="G231" s="209"/>
      <c r="I231" s="217"/>
      <c r="J231" s="217"/>
    </row>
    <row r="232" spans="1:10" ht="13" outlineLevel="1" thickBot="1" x14ac:dyDescent="0.3">
      <c r="B232" s="218" t="s">
        <v>300</v>
      </c>
      <c r="C232" s="219">
        <v>25000</v>
      </c>
      <c r="D232" s="219">
        <v>33750</v>
      </c>
      <c r="E232" s="219">
        <v>37125</v>
      </c>
      <c r="F232" s="219">
        <v>44550</v>
      </c>
      <c r="G232" s="219">
        <v>113687</v>
      </c>
    </row>
    <row r="233" spans="1:10" ht="13" outlineLevel="1" thickBot="1" x14ac:dyDescent="0.3">
      <c r="B233" s="218" t="s">
        <v>83</v>
      </c>
      <c r="C233" s="219">
        <v>74</v>
      </c>
      <c r="D233" s="219">
        <v>100</v>
      </c>
      <c r="E233" s="219">
        <v>110</v>
      </c>
      <c r="F233" s="219">
        <v>132</v>
      </c>
      <c r="G233" s="219">
        <v>176</v>
      </c>
    </row>
    <row r="234" spans="1:10" ht="13" outlineLevel="1" thickBot="1" x14ac:dyDescent="0.3">
      <c r="B234" s="211" t="s">
        <v>84</v>
      </c>
      <c r="C234" s="195">
        <v>57262.73832168751</v>
      </c>
      <c r="D234" s="195">
        <v>77304.32839040627</v>
      </c>
      <c r="E234" s="195">
        <v>85034.638448156271</v>
      </c>
      <c r="F234" s="195">
        <v>102041.07501262502</v>
      </c>
      <c r="G234" s="195">
        <v>305046.43311909382</v>
      </c>
    </row>
    <row r="235" spans="1:10" ht="13" outlineLevel="1" thickBot="1" x14ac:dyDescent="0.3">
      <c r="B235" s="210" t="s">
        <v>85</v>
      </c>
      <c r="C235" s="195">
        <v>74143.38197896877</v>
      </c>
      <c r="D235" s="195">
        <v>100093.98961455471</v>
      </c>
      <c r="E235" s="195">
        <v>110103.28259027346</v>
      </c>
      <c r="F235" s="195">
        <v>132123.93910832817</v>
      </c>
      <c r="G235" s="195">
        <v>394977.04502976569</v>
      </c>
    </row>
    <row r="236" spans="1:10" ht="13" outlineLevel="1" thickBot="1" x14ac:dyDescent="0.3">
      <c r="B236" s="210" t="s">
        <v>86</v>
      </c>
      <c r="C236" s="195">
        <v>10631.006465625002</v>
      </c>
      <c r="D236" s="195">
        <v>25749.321609375002</v>
      </c>
      <c r="E236" s="195">
        <v>28008.034031250001</v>
      </c>
      <c r="F236" s="195">
        <v>29363.261484375002</v>
      </c>
      <c r="G236" s="195">
        <v>103893.54352650001</v>
      </c>
    </row>
    <row r="237" spans="1:10" ht="13" outlineLevel="1" thickBot="1" x14ac:dyDescent="0.3">
      <c r="B237" s="210" t="s">
        <v>87</v>
      </c>
      <c r="C237" s="195">
        <v>119817.76726237501</v>
      </c>
      <c r="D237" s="195">
        <v>161753.92557187501</v>
      </c>
      <c r="E237" s="195">
        <v>177929.92045237502</v>
      </c>
      <c r="F237" s="195">
        <v>213515.18175487503</v>
      </c>
      <c r="G237" s="195">
        <v>338774.337822375</v>
      </c>
    </row>
    <row r="240" spans="1:10" ht="27" customHeight="1" thickBot="1" x14ac:dyDescent="0.3">
      <c r="A240" s="215" t="s">
        <v>314</v>
      </c>
      <c r="C240" s="221"/>
    </row>
    <row r="241" spans="1:9" ht="13" outlineLevel="1" thickBot="1" x14ac:dyDescent="0.3">
      <c r="B241" s="212" t="s">
        <v>299</v>
      </c>
      <c r="C241" s="224" t="s">
        <v>313</v>
      </c>
    </row>
    <row r="242" spans="1:9" ht="13" outlineLevel="1" thickBot="1" x14ac:dyDescent="0.3">
      <c r="B242" s="210" t="s">
        <v>315</v>
      </c>
      <c r="C242" s="195">
        <v>5485.821732562501</v>
      </c>
    </row>
    <row r="243" spans="1:9" ht="25.5" outlineLevel="1" thickBot="1" x14ac:dyDescent="0.3">
      <c r="B243" s="211" t="s">
        <v>316</v>
      </c>
      <c r="C243" s="195">
        <v>64027.043409164078</v>
      </c>
    </row>
    <row r="244" spans="1:9" ht="13" outlineLevel="1" thickBot="1" x14ac:dyDescent="0.3">
      <c r="B244" s="210" t="s">
        <v>167</v>
      </c>
      <c r="C244" s="195">
        <v>51360.688013906263</v>
      </c>
    </row>
    <row r="245" spans="1:9" ht="13" outlineLevel="1" thickBot="1" x14ac:dyDescent="0.3">
      <c r="B245" s="210" t="s">
        <v>317</v>
      </c>
      <c r="C245" s="195">
        <v>7131.7802238046888</v>
      </c>
    </row>
    <row r="248" spans="1:9" ht="15.65" customHeight="1" thickBot="1" x14ac:dyDescent="0.3">
      <c r="A248" s="215" t="s">
        <v>318</v>
      </c>
      <c r="B248" s="207"/>
      <c r="C248" s="221"/>
      <c r="D248" s="221"/>
      <c r="E248" s="221"/>
      <c r="F248" s="221"/>
      <c r="G248" s="221"/>
      <c r="H248" s="221"/>
      <c r="I248" s="221"/>
    </row>
    <row r="249" spans="1:9" ht="13" outlineLevel="1" thickBot="1" x14ac:dyDescent="0.3">
      <c r="B249" s="223" t="s">
        <v>299</v>
      </c>
      <c r="C249" s="224" t="s">
        <v>70</v>
      </c>
      <c r="D249" s="224" t="s">
        <v>71</v>
      </c>
      <c r="E249" s="224" t="s">
        <v>72</v>
      </c>
      <c r="F249" s="224" t="s">
        <v>73</v>
      </c>
      <c r="G249" s="224" t="s">
        <v>74</v>
      </c>
      <c r="H249" s="224" t="s">
        <v>75</v>
      </c>
      <c r="I249" s="224" t="s">
        <v>76</v>
      </c>
    </row>
    <row r="250" spans="1:9" ht="13" outlineLevel="1" thickBot="1" x14ac:dyDescent="0.3">
      <c r="B250" s="210" t="s">
        <v>637</v>
      </c>
      <c r="C250" s="195">
        <v>228431.11626562502</v>
      </c>
      <c r="D250" s="195">
        <v>265835.39397187502</v>
      </c>
      <c r="E250" s="195">
        <v>277821.62789062504</v>
      </c>
      <c r="F250" s="195">
        <v>293256.76509674999</v>
      </c>
      <c r="G250" s="195">
        <v>327212.13951562502</v>
      </c>
      <c r="H250" s="195">
        <v>350803.93901962502</v>
      </c>
      <c r="I250" s="193" t="s">
        <v>119</v>
      </c>
    </row>
    <row r="251" spans="1:9" ht="13" outlineLevel="1" thickBot="1" x14ac:dyDescent="0.3">
      <c r="B251" s="210" t="s">
        <v>638</v>
      </c>
      <c r="C251" s="195">
        <v>370428.83718750003</v>
      </c>
      <c r="D251" s="195">
        <v>425993.16276562505</v>
      </c>
      <c r="E251" s="193" t="s">
        <v>119</v>
      </c>
      <c r="F251" s="193" t="s">
        <v>119</v>
      </c>
      <c r="G251" s="193" t="s">
        <v>119</v>
      </c>
      <c r="H251" s="289" t="s">
        <v>119</v>
      </c>
      <c r="I251" s="193" t="s">
        <v>119</v>
      </c>
    </row>
    <row r="254" spans="1:9" ht="15.5" thickBot="1" x14ac:dyDescent="0.3">
      <c r="A254" s="215" t="s">
        <v>367</v>
      </c>
      <c r="C254" s="226"/>
      <c r="D254" s="226"/>
      <c r="E254" s="226"/>
      <c r="F254" s="226"/>
    </row>
    <row r="255" spans="1:9" ht="13.75" customHeight="1" outlineLevel="1" thickBot="1" x14ac:dyDescent="0.3">
      <c r="B255" s="319" t="s">
        <v>319</v>
      </c>
      <c r="C255" s="317" t="s">
        <v>366</v>
      </c>
      <c r="D255" s="209"/>
      <c r="E255" s="319" t="s">
        <v>364</v>
      </c>
      <c r="F255" s="319" t="s">
        <v>365</v>
      </c>
    </row>
    <row r="256" spans="1:9" ht="13" outlineLevel="1" thickBot="1" x14ac:dyDescent="0.3">
      <c r="B256" s="210"/>
      <c r="C256" s="227" t="s">
        <v>151</v>
      </c>
      <c r="D256" s="227" t="s">
        <v>152</v>
      </c>
      <c r="E256" s="210"/>
      <c r="F256" s="210"/>
    </row>
    <row r="257" spans="2:6" ht="13" outlineLevel="1" thickBot="1" x14ac:dyDescent="0.3">
      <c r="B257" s="225" t="s">
        <v>320</v>
      </c>
      <c r="C257" s="195">
        <v>691.13472661406252</v>
      </c>
      <c r="D257" s="195">
        <v>673.18317527343766</v>
      </c>
      <c r="E257" s="195">
        <v>1600.2050857734375</v>
      </c>
      <c r="F257" s="195">
        <v>298.76510445468756</v>
      </c>
    </row>
    <row r="258" spans="2:6" ht="13" outlineLevel="1" thickBot="1" x14ac:dyDescent="0.3">
      <c r="B258" s="225" t="s">
        <v>321</v>
      </c>
      <c r="C258" s="195">
        <v>833.46488367187499</v>
      </c>
      <c r="D258" s="195">
        <v>861.67446435000011</v>
      </c>
      <c r="E258" s="195">
        <v>1984.6912224234377</v>
      </c>
      <c r="F258" s="195">
        <v>298.76510445468756</v>
      </c>
    </row>
    <row r="259" spans="2:6" ht="13" outlineLevel="1" thickBot="1" x14ac:dyDescent="0.3">
      <c r="B259" s="225" t="s">
        <v>322</v>
      </c>
      <c r="C259" s="195">
        <v>737.29585863281261</v>
      </c>
      <c r="D259" s="195">
        <v>821.92460066718763</v>
      </c>
      <c r="E259" s="195">
        <v>1819.7554081218752</v>
      </c>
      <c r="F259" s="195">
        <v>298.76510445468756</v>
      </c>
    </row>
    <row r="260" spans="2:6" ht="13" outlineLevel="1" thickBot="1" x14ac:dyDescent="0.3">
      <c r="B260" s="225" t="s">
        <v>323</v>
      </c>
      <c r="C260" s="195">
        <v>848.85192767812509</v>
      </c>
      <c r="D260" s="195">
        <v>983.48856273281262</v>
      </c>
      <c r="E260" s="195">
        <v>2137.6118449546875</v>
      </c>
      <c r="F260" s="195">
        <v>298.76510445468756</v>
      </c>
    </row>
    <row r="261" spans="2:6" ht="13" outlineLevel="1" thickBot="1" x14ac:dyDescent="0.3">
      <c r="B261" s="225" t="s">
        <v>324</v>
      </c>
      <c r="C261" s="195">
        <v>1059.1415290968753</v>
      </c>
      <c r="D261" s="195">
        <v>1091.1978707765627</v>
      </c>
      <c r="E261" s="195">
        <v>2515.544240639063</v>
      </c>
      <c r="F261" s="195">
        <v>298.76510445468756</v>
      </c>
    </row>
    <row r="262" spans="2:6" ht="13" outlineLevel="1" thickBot="1" x14ac:dyDescent="0.3">
      <c r="B262" s="225" t="s">
        <v>325</v>
      </c>
      <c r="C262" s="195">
        <v>909.11785003593752</v>
      </c>
      <c r="D262" s="195">
        <v>956.56123572187516</v>
      </c>
      <c r="E262" s="195">
        <v>2182.3957415531254</v>
      </c>
      <c r="F262" s="195">
        <v>298.76510445468756</v>
      </c>
    </row>
    <row r="263" spans="2:6" ht="13" outlineLevel="1" thickBot="1" x14ac:dyDescent="0.3">
      <c r="B263" s="225" t="s">
        <v>326</v>
      </c>
      <c r="C263" s="195">
        <v>1092.4801244437501</v>
      </c>
      <c r="D263" s="195">
        <v>1165.5685834734377</v>
      </c>
      <c r="E263" s="195">
        <v>2638.9730288250003</v>
      </c>
      <c r="F263" s="195">
        <v>298.76510445468756</v>
      </c>
    </row>
    <row r="264" spans="2:6" ht="13" outlineLevel="1" thickBot="1" x14ac:dyDescent="0.3">
      <c r="B264" s="225" t="s">
        <v>327</v>
      </c>
      <c r="C264" s="195">
        <v>1078.3753341046877</v>
      </c>
      <c r="D264" s="195">
        <v>1293.7939501921876</v>
      </c>
      <c r="E264" s="195">
        <v>2763.4941071718754</v>
      </c>
      <c r="F264" s="195">
        <v>298.76510445468756</v>
      </c>
    </row>
    <row r="265" spans="2:6" ht="13" outlineLevel="1" thickBot="1" x14ac:dyDescent="0.3">
      <c r="B265" s="225" t="s">
        <v>328</v>
      </c>
      <c r="C265" s="195">
        <v>1065.5527974328127</v>
      </c>
      <c r="D265" s="195">
        <v>1171.9798518093751</v>
      </c>
      <c r="E265" s="195">
        <v>2613.850355123438</v>
      </c>
      <c r="F265" s="195">
        <v>298.76510445468756</v>
      </c>
    </row>
    <row r="266" spans="2:6" ht="13" outlineLevel="1" thickBot="1" x14ac:dyDescent="0.3">
      <c r="B266" s="225" t="s">
        <v>329</v>
      </c>
      <c r="C266" s="195">
        <v>1023.2384264156251</v>
      </c>
      <c r="D266" s="195">
        <v>1225.83450583125</v>
      </c>
      <c r="E266" s="195">
        <v>2622.5886764109378</v>
      </c>
      <c r="F266" s="195">
        <v>298.76510445468756</v>
      </c>
    </row>
    <row r="267" spans="2:6" ht="13" outlineLevel="1" thickBot="1" x14ac:dyDescent="0.3">
      <c r="B267" s="225" t="s">
        <v>330</v>
      </c>
      <c r="C267" s="195">
        <v>1273.2778915171878</v>
      </c>
      <c r="D267" s="195">
        <v>1360.4711408859375</v>
      </c>
      <c r="E267" s="195">
        <v>3079.1659636828131</v>
      </c>
      <c r="F267" s="195">
        <v>298.76510445468756</v>
      </c>
    </row>
    <row r="268" spans="2:6" ht="13" outlineLevel="1" thickBot="1" x14ac:dyDescent="0.3">
      <c r="B268" s="225" t="s">
        <v>331</v>
      </c>
      <c r="C268" s="195">
        <v>1418.1725559093752</v>
      </c>
      <c r="D268" s="195">
        <v>1455.3579122578128</v>
      </c>
      <c r="E268" s="195">
        <v>3363.1614055265632</v>
      </c>
      <c r="F268" s="195">
        <v>298.76510445468756</v>
      </c>
    </row>
    <row r="269" spans="2:6" ht="13" outlineLevel="1" thickBot="1" x14ac:dyDescent="0.3">
      <c r="B269" s="225" t="s">
        <v>332</v>
      </c>
      <c r="C269" s="195">
        <v>1279.6891598531251</v>
      </c>
      <c r="D269" s="195">
        <v>1293.7939501921876</v>
      </c>
      <c r="E269" s="195">
        <v>3012.5362638656256</v>
      </c>
      <c r="F269" s="195">
        <v>298.76510445468756</v>
      </c>
    </row>
    <row r="270" spans="2:6" ht="13" outlineLevel="1" thickBot="1" x14ac:dyDescent="0.3">
      <c r="B270" s="225" t="s">
        <v>333</v>
      </c>
      <c r="C270" s="195">
        <v>1501.5190442765627</v>
      </c>
      <c r="D270" s="195">
        <v>1495.1077759406251</v>
      </c>
      <c r="E270" s="195">
        <v>3511.7128674140627</v>
      </c>
      <c r="F270" s="195">
        <v>298.76510445468756</v>
      </c>
    </row>
    <row r="271" spans="2:6" ht="13" outlineLevel="1" thickBot="1" x14ac:dyDescent="0.3">
      <c r="B271" s="225" t="s">
        <v>334</v>
      </c>
      <c r="C271" s="195">
        <v>1419.4548095765626</v>
      </c>
      <c r="D271" s="195">
        <v>1563.0672203015627</v>
      </c>
      <c r="E271" s="195">
        <v>3484.4056133906251</v>
      </c>
      <c r="F271" s="195">
        <v>298.76510445468756</v>
      </c>
    </row>
    <row r="272" spans="2:6" ht="13" outlineLevel="1" thickBot="1" x14ac:dyDescent="0.3">
      <c r="B272" s="225" t="s">
        <v>335</v>
      </c>
      <c r="C272" s="195">
        <v>1236.0925351687501</v>
      </c>
      <c r="D272" s="195">
        <v>1455.3579122578128</v>
      </c>
      <c r="E272" s="195">
        <v>3138.1496323734382</v>
      </c>
      <c r="F272" s="195">
        <v>298.76510445468756</v>
      </c>
    </row>
    <row r="273" spans="1:6" ht="13" outlineLevel="1" thickBot="1" x14ac:dyDescent="0.3">
      <c r="B273" s="225" t="s">
        <v>336</v>
      </c>
      <c r="C273" s="195">
        <v>1401.5032582359377</v>
      </c>
      <c r="D273" s="195">
        <v>1683.5990650171875</v>
      </c>
      <c r="E273" s="195">
        <v>3594.726919645313</v>
      </c>
      <c r="F273" s="195">
        <v>298.76510445468756</v>
      </c>
    </row>
    <row r="274" spans="1:6" ht="13" outlineLevel="1" thickBot="1" x14ac:dyDescent="0.3">
      <c r="B274" s="225" t="s">
        <v>337</v>
      </c>
      <c r="C274" s="195">
        <v>1605.3815913187502</v>
      </c>
      <c r="D274" s="195">
        <v>1751.5585093781251</v>
      </c>
      <c r="E274" s="195">
        <v>3923.5062580875006</v>
      </c>
      <c r="F274" s="195">
        <v>298.76510445468756</v>
      </c>
    </row>
    <row r="275" spans="1:6" ht="13" outlineLevel="1" thickBot="1" x14ac:dyDescent="0.3">
      <c r="B275" s="225" t="s">
        <v>338</v>
      </c>
      <c r="C275" s="195">
        <v>1655.3894843390626</v>
      </c>
      <c r="D275" s="195">
        <v>1940.0497984546876</v>
      </c>
      <c r="E275" s="195">
        <v>4145.2411607578133</v>
      </c>
      <c r="F275" s="195">
        <v>298.76510445468756</v>
      </c>
    </row>
    <row r="276" spans="1:6" ht="13" outlineLevel="1" thickBot="1" x14ac:dyDescent="0.3">
      <c r="B276" s="225" t="s">
        <v>339</v>
      </c>
      <c r="C276" s="195">
        <v>1638.7201866656251</v>
      </c>
      <c r="D276" s="195">
        <v>1818.235700071875</v>
      </c>
      <c r="E276" s="195">
        <v>4037.1044348250007</v>
      </c>
      <c r="F276" s="195">
        <v>298.76510445468756</v>
      </c>
    </row>
    <row r="277" spans="1:6" ht="13" outlineLevel="1" thickBot="1" x14ac:dyDescent="0.3">
      <c r="B277" s="225" t="s">
        <v>340</v>
      </c>
      <c r="C277" s="195">
        <v>1548.9624299625</v>
      </c>
      <c r="D277" s="195">
        <v>1845.1630270828127</v>
      </c>
      <c r="E277" s="195">
        <v>3957.367253076563</v>
      </c>
      <c r="F277" s="195">
        <v>298.76510445468756</v>
      </c>
    </row>
    <row r="278" spans="1:6" ht="13" outlineLevel="1" thickBot="1" x14ac:dyDescent="0.3">
      <c r="B278" s="225" t="s">
        <v>341</v>
      </c>
      <c r="C278" s="195">
        <v>1724.6311823671876</v>
      </c>
      <c r="D278" s="195">
        <v>2074.6864335093751</v>
      </c>
      <c r="E278" s="195">
        <v>4427.0520222796886</v>
      </c>
      <c r="F278" s="195">
        <v>298.76510445468756</v>
      </c>
    </row>
    <row r="279" spans="1:6" ht="13" outlineLevel="1" thickBot="1" x14ac:dyDescent="0.3">
      <c r="B279" s="225" t="s">
        <v>342</v>
      </c>
      <c r="C279" s="195">
        <v>1791.3083730609378</v>
      </c>
      <c r="D279" s="195">
        <v>2074.6864335093751</v>
      </c>
      <c r="E279" s="195">
        <v>4510.0660745109381</v>
      </c>
      <c r="F279" s="195">
        <v>298.76510445468756</v>
      </c>
    </row>
    <row r="280" spans="1:6" ht="13" outlineLevel="1" thickBot="1" x14ac:dyDescent="0.3">
      <c r="B280" s="225" t="s">
        <v>343</v>
      </c>
      <c r="C280" s="195">
        <v>1940.0497984546876</v>
      </c>
      <c r="D280" s="195">
        <v>1951.5900814593754</v>
      </c>
      <c r="E280" s="195">
        <v>4558.1268415921886</v>
      </c>
      <c r="F280" s="195">
        <v>298.76510445468756</v>
      </c>
    </row>
    <row r="281" spans="1:6" ht="13" outlineLevel="1" thickBot="1" x14ac:dyDescent="0.3">
      <c r="B281" s="225" t="s">
        <v>344</v>
      </c>
      <c r="C281" s="195">
        <v>2196.5005318921876</v>
      </c>
      <c r="D281" s="195">
        <v>2141.3636242031253</v>
      </c>
      <c r="E281" s="195">
        <v>5084.6106991640636</v>
      </c>
      <c r="F281" s="195">
        <v>298.76510445468756</v>
      </c>
    </row>
    <row r="282" spans="1:6" ht="13" outlineLevel="1" thickBot="1" x14ac:dyDescent="0.3">
      <c r="B282" s="225" t="s">
        <v>345</v>
      </c>
      <c r="C282" s="195">
        <v>2046.4768528312502</v>
      </c>
      <c r="D282" s="195">
        <v>2082.3799555125001</v>
      </c>
      <c r="E282" s="195">
        <v>4834.4762523093759</v>
      </c>
      <c r="F282" s="195">
        <v>298.76510445468756</v>
      </c>
    </row>
    <row r="283" spans="1:6" ht="13" outlineLevel="1" thickBot="1" x14ac:dyDescent="0.3">
      <c r="B283" s="225" t="s">
        <v>346</v>
      </c>
      <c r="C283" s="195">
        <v>2241.37941024375</v>
      </c>
      <c r="D283" s="195">
        <v>2309.3388546046876</v>
      </c>
      <c r="E283" s="195">
        <v>5326.0068247312511</v>
      </c>
      <c r="F283" s="195">
        <v>298.76510445468756</v>
      </c>
    </row>
    <row r="286" spans="1:6" ht="14.5" customHeight="1" thickBot="1" x14ac:dyDescent="0.3">
      <c r="A286" s="228" t="s">
        <v>363</v>
      </c>
      <c r="B286" s="228"/>
      <c r="C286" s="228"/>
      <c r="D286" s="228"/>
      <c r="E286" s="228"/>
      <c r="F286" s="196"/>
    </row>
    <row r="287" spans="1:6" ht="13.75" customHeight="1" outlineLevel="1" thickBot="1" x14ac:dyDescent="0.3">
      <c r="B287" s="319" t="s">
        <v>319</v>
      </c>
      <c r="C287" s="317" t="s">
        <v>366</v>
      </c>
      <c r="D287" s="209"/>
      <c r="E287" s="319" t="s">
        <v>364</v>
      </c>
      <c r="F287" s="319" t="s">
        <v>365</v>
      </c>
    </row>
    <row r="288" spans="1:6" ht="13" outlineLevel="1" thickBot="1" x14ac:dyDescent="0.3">
      <c r="B288" s="210"/>
      <c r="C288" s="227" t="s">
        <v>151</v>
      </c>
      <c r="D288" s="227" t="s">
        <v>152</v>
      </c>
      <c r="E288" s="210"/>
      <c r="F288" s="210"/>
    </row>
    <row r="289" spans="2:6" ht="13" outlineLevel="1" thickBot="1" x14ac:dyDescent="0.3">
      <c r="B289" s="225" t="s">
        <v>347</v>
      </c>
      <c r="C289" s="195">
        <v>2243.9439175781254</v>
      </c>
      <c r="D289" s="195">
        <v>2774.7969357937504</v>
      </c>
      <c r="E289" s="195">
        <v>5845.9369413375007</v>
      </c>
      <c r="F289" s="195">
        <v>298.76510445468756</v>
      </c>
    </row>
    <row r="290" spans="2:6" ht="13" outlineLevel="1" thickBot="1" x14ac:dyDescent="0.3">
      <c r="B290" s="225" t="s">
        <v>348</v>
      </c>
      <c r="C290" s="195">
        <v>2474.7495776718752</v>
      </c>
      <c r="D290" s="195">
        <v>2343.9597036187502</v>
      </c>
      <c r="E290" s="195">
        <v>5652.6015828515629</v>
      </c>
      <c r="F290" s="195">
        <v>298.76510445468756</v>
      </c>
    </row>
    <row r="291" spans="2:6" ht="13" outlineLevel="1" thickBot="1" x14ac:dyDescent="0.3">
      <c r="B291" s="225" t="s">
        <v>349</v>
      </c>
      <c r="C291" s="195">
        <v>2384.9918209687503</v>
      </c>
      <c r="D291" s="195">
        <v>2977.3930152093753</v>
      </c>
      <c r="E291" s="195">
        <v>6241.3459795968756</v>
      </c>
      <c r="F291" s="195">
        <v>298.76510445468756</v>
      </c>
    </row>
    <row r="292" spans="2:6" ht="13" outlineLevel="1" thickBot="1" x14ac:dyDescent="0.3">
      <c r="B292" s="225" t="s">
        <v>350</v>
      </c>
      <c r="C292" s="195">
        <v>2223.4278589031255</v>
      </c>
      <c r="D292" s="195">
        <v>2492.7011290125006</v>
      </c>
      <c r="E292" s="195">
        <v>5506.2347012859382</v>
      </c>
      <c r="F292" s="195">
        <v>298.76510445468756</v>
      </c>
    </row>
    <row r="293" spans="2:6" ht="13" outlineLevel="1" thickBot="1" x14ac:dyDescent="0.3">
      <c r="B293" s="225" t="s">
        <v>351</v>
      </c>
      <c r="C293" s="195">
        <v>2576.0476173796878</v>
      </c>
      <c r="D293" s="195">
        <v>2667.0876277500006</v>
      </c>
      <c r="E293" s="195">
        <v>6135.3938339859378</v>
      </c>
      <c r="F293" s="195">
        <v>298.76510445468756</v>
      </c>
    </row>
    <row r="294" spans="2:6" ht="13" outlineLevel="1" thickBot="1" x14ac:dyDescent="0.3">
      <c r="B294" s="225" t="s">
        <v>352</v>
      </c>
      <c r="C294" s="195">
        <v>2815.8290531437501</v>
      </c>
      <c r="D294" s="195">
        <v>3083.8200695859382</v>
      </c>
      <c r="E294" s="195">
        <v>6892.3509155156253</v>
      </c>
      <c r="F294" s="195">
        <v>298.76510445468756</v>
      </c>
    </row>
    <row r="295" spans="2:6" ht="13" outlineLevel="1" thickBot="1" x14ac:dyDescent="0.3">
      <c r="B295" s="225" t="s">
        <v>353</v>
      </c>
      <c r="C295" s="195">
        <v>2786.3372187984378</v>
      </c>
      <c r="D295" s="195">
        <v>3381.3029203734377</v>
      </c>
      <c r="E295" s="195">
        <v>7185.0846786468765</v>
      </c>
      <c r="F295" s="195">
        <v>298.76510445468756</v>
      </c>
    </row>
    <row r="296" spans="2:6" ht="13" outlineLevel="1" thickBot="1" x14ac:dyDescent="0.3">
      <c r="B296" s="225" t="s">
        <v>354</v>
      </c>
      <c r="C296" s="195">
        <v>3453.1091257359381</v>
      </c>
      <c r="D296" s="195">
        <v>3004.3203422203128</v>
      </c>
      <c r="E296" s="195">
        <v>7591.4166185156255</v>
      </c>
      <c r="F296" s="195">
        <v>298.76510445468756</v>
      </c>
    </row>
    <row r="297" spans="2:6" ht="13" outlineLevel="1" thickBot="1" x14ac:dyDescent="0.3">
      <c r="B297" s="225" t="s">
        <v>355</v>
      </c>
      <c r="C297" s="195">
        <v>3158.190782282813</v>
      </c>
      <c r="D297" s="195">
        <v>3515.9395554281255</v>
      </c>
      <c r="E297" s="195">
        <v>7794.5825884500009</v>
      </c>
      <c r="F297" s="195">
        <v>298.76510445468756</v>
      </c>
    </row>
    <row r="298" spans="2:6" ht="13" outlineLevel="1" thickBot="1" x14ac:dyDescent="0.3">
      <c r="B298" s="225" t="s">
        <v>356</v>
      </c>
      <c r="C298" s="195">
        <v>3256.9243146562508</v>
      </c>
      <c r="D298" s="195">
        <v>3449.2623647343753</v>
      </c>
      <c r="E298" s="195">
        <v>7842.6433555312506</v>
      </c>
      <c r="F298" s="195">
        <v>298.76510445468756</v>
      </c>
    </row>
    <row r="299" spans="2:6" ht="13" outlineLevel="1" thickBot="1" x14ac:dyDescent="0.3">
      <c r="B299" s="225" t="s">
        <v>357</v>
      </c>
      <c r="C299" s="195">
        <v>3844.1964942281256</v>
      </c>
      <c r="D299" s="195">
        <v>3848.0432552296879</v>
      </c>
      <c r="E299" s="195">
        <v>9010.3015375734376</v>
      </c>
      <c r="F299" s="195">
        <v>298.76510445468756</v>
      </c>
    </row>
    <row r="300" spans="2:6" ht="13" outlineLevel="1" thickBot="1" x14ac:dyDescent="0.3">
      <c r="B300" s="225" t="s">
        <v>358</v>
      </c>
      <c r="C300" s="195">
        <v>4189.1227307015633</v>
      </c>
      <c r="D300" s="195">
        <v>4486.6055814890633</v>
      </c>
      <c r="E300" s="195">
        <v>10143.006434465628</v>
      </c>
      <c r="F300" s="195">
        <v>298.76510445468756</v>
      </c>
    </row>
    <row r="301" spans="2:6" ht="13" outlineLevel="1" thickBot="1" x14ac:dyDescent="0.3">
      <c r="B301" s="225" t="s">
        <v>359</v>
      </c>
      <c r="C301" s="195">
        <v>4934.1121113375011</v>
      </c>
      <c r="D301" s="195">
        <v>5482.9166808937507</v>
      </c>
      <c r="E301" s="195">
        <v>12167.020102682813</v>
      </c>
      <c r="F301" s="195">
        <v>298.76510445468756</v>
      </c>
    </row>
    <row r="302" spans="2:6" ht="13" outlineLevel="1" thickBot="1" x14ac:dyDescent="0.3">
      <c r="B302" s="225" t="s">
        <v>360</v>
      </c>
      <c r="C302" s="195">
        <v>4468.6540301484374</v>
      </c>
      <c r="D302" s="195">
        <v>6534.3646879875005</v>
      </c>
      <c r="E302" s="195">
        <v>12754.67220926719</v>
      </c>
      <c r="F302" s="195">
        <v>298.76510445468756</v>
      </c>
    </row>
    <row r="303" spans="2:6" ht="13" outlineLevel="1" thickBot="1" x14ac:dyDescent="0.3">
      <c r="B303" s="225" t="s">
        <v>361</v>
      </c>
      <c r="C303" s="195">
        <v>5118.7566394125006</v>
      </c>
      <c r="D303" s="195">
        <v>5859.8992590468761</v>
      </c>
      <c r="E303" s="195">
        <v>12812.563587796876</v>
      </c>
      <c r="F303" s="195">
        <v>298.76510445468756</v>
      </c>
    </row>
    <row r="304" spans="2:6" ht="13" outlineLevel="1" thickBot="1" x14ac:dyDescent="0.3">
      <c r="B304" s="225" t="s">
        <v>362</v>
      </c>
      <c r="C304" s="195">
        <v>5440.6023098765636</v>
      </c>
      <c r="D304" s="195">
        <v>6143.2773194953133</v>
      </c>
      <c r="E304" s="195">
        <v>13523.64448256719</v>
      </c>
      <c r="F304" s="195">
        <v>298.76510445468756</v>
      </c>
    </row>
    <row r="307" spans="1:7" ht="15" customHeight="1" thickBot="1" x14ac:dyDescent="0.3">
      <c r="A307" s="215" t="s">
        <v>379</v>
      </c>
      <c r="B307" s="215"/>
      <c r="C307" s="215"/>
      <c r="D307" s="215"/>
      <c r="E307" s="215"/>
      <c r="F307" s="215"/>
    </row>
    <row r="308" spans="1:7" ht="38" outlineLevel="1" thickBot="1" x14ac:dyDescent="0.3">
      <c r="B308" s="211" t="s">
        <v>368</v>
      </c>
      <c r="C308" s="209" t="s">
        <v>369</v>
      </c>
      <c r="D308" s="209" t="s">
        <v>370</v>
      </c>
      <c r="E308" s="209" t="s">
        <v>366</v>
      </c>
      <c r="F308" s="209" t="s">
        <v>364</v>
      </c>
      <c r="G308" s="209" t="s">
        <v>365</v>
      </c>
    </row>
    <row r="309" spans="1:7" ht="13" outlineLevel="1" thickBot="1" x14ac:dyDescent="0.3">
      <c r="B309" s="229" t="s">
        <v>371</v>
      </c>
      <c r="C309" s="320" t="s">
        <v>343</v>
      </c>
      <c r="D309" s="194">
        <v>1468</v>
      </c>
      <c r="E309" s="195">
        <v>4103.9998518881257</v>
      </c>
      <c r="F309" s="195">
        <v>4351.5987492600007</v>
      </c>
      <c r="G309" s="195">
        <v>298.76510445468756</v>
      </c>
    </row>
    <row r="310" spans="1:7" ht="13" outlineLevel="1" thickBot="1" x14ac:dyDescent="0.3">
      <c r="B310" s="229" t="s">
        <v>372</v>
      </c>
      <c r="C310" s="229"/>
      <c r="D310" s="194">
        <v>1708</v>
      </c>
      <c r="E310" s="195">
        <v>5497.2028632150004</v>
      </c>
      <c r="F310" s="195">
        <v>4351.5987492600007</v>
      </c>
      <c r="G310" s="195">
        <v>298.76510445468756</v>
      </c>
    </row>
    <row r="311" spans="1:7" ht="13.75" customHeight="1" outlineLevel="1" thickBot="1" x14ac:dyDescent="0.3">
      <c r="B311" s="229" t="s">
        <v>373</v>
      </c>
      <c r="C311" s="320" t="s">
        <v>346</v>
      </c>
      <c r="D311" s="194">
        <v>1681</v>
      </c>
      <c r="E311" s="195">
        <v>5054.3937602156257</v>
      </c>
      <c r="F311" s="195">
        <v>5602.7984797575018</v>
      </c>
      <c r="G311" s="195">
        <v>298.76510445468756</v>
      </c>
    </row>
    <row r="312" spans="1:7" ht="13" outlineLevel="1" thickBot="1" x14ac:dyDescent="0.3">
      <c r="B312" s="229" t="s">
        <v>374</v>
      </c>
      <c r="C312" s="229"/>
      <c r="D312" s="194">
        <v>1902</v>
      </c>
      <c r="E312" s="195">
        <v>5605.1998964718759</v>
      </c>
      <c r="F312" s="195">
        <v>5602.7984797575018</v>
      </c>
      <c r="G312" s="195">
        <v>298.76510445468756</v>
      </c>
    </row>
    <row r="313" spans="1:7" ht="13.75" customHeight="1" outlineLevel="1" thickBot="1" x14ac:dyDescent="0.3">
      <c r="B313" s="229" t="s">
        <v>375</v>
      </c>
      <c r="C313" s="320" t="s">
        <v>351</v>
      </c>
      <c r="D313" s="194">
        <v>1975</v>
      </c>
      <c r="E313" s="195">
        <v>5432.4021413025021</v>
      </c>
      <c r="F313" s="195">
        <v>5786.7934253062513</v>
      </c>
      <c r="G313" s="195">
        <v>298.76510445468756</v>
      </c>
    </row>
    <row r="314" spans="1:7" ht="13" outlineLevel="1" thickBot="1" x14ac:dyDescent="0.3">
      <c r="B314" s="229" t="s">
        <v>376</v>
      </c>
      <c r="C314" s="229"/>
      <c r="D314" s="194">
        <v>2228</v>
      </c>
      <c r="E314" s="195">
        <v>6685.1952486243763</v>
      </c>
      <c r="F314" s="195">
        <v>5786.7934253062513</v>
      </c>
      <c r="G314" s="195">
        <v>298.76510445468756</v>
      </c>
    </row>
    <row r="315" spans="1:7" ht="13.75" customHeight="1" outlineLevel="1" thickBot="1" x14ac:dyDescent="0.3">
      <c r="B315" s="229" t="s">
        <v>377</v>
      </c>
      <c r="C315" s="320" t="s">
        <v>359</v>
      </c>
      <c r="D315" s="194">
        <v>2785</v>
      </c>
      <c r="E315" s="195">
        <v>9077.4052195050008</v>
      </c>
      <c r="F315" s="195">
        <v>13275.598707630003</v>
      </c>
      <c r="G315" s="195">
        <v>298.76510445468756</v>
      </c>
    </row>
    <row r="316" spans="1:7" ht="13" outlineLevel="1" thickBot="1" x14ac:dyDescent="0.3">
      <c r="B316" s="229" t="s">
        <v>378</v>
      </c>
      <c r="C316" s="229"/>
      <c r="D316" s="194">
        <v>3130</v>
      </c>
      <c r="E316" s="195">
        <v>10670.402116867501</v>
      </c>
      <c r="F316" s="195">
        <v>13275.598707630003</v>
      </c>
      <c r="G316" s="195">
        <v>298.76510445468756</v>
      </c>
    </row>
    <row r="318" spans="1:7" ht="15.5" thickBot="1" x14ac:dyDescent="0.3">
      <c r="A318" s="215" t="s">
        <v>381</v>
      </c>
      <c r="B318" s="215"/>
      <c r="C318" s="215"/>
    </row>
    <row r="319" spans="1:7" ht="13" outlineLevel="1" thickBot="1" x14ac:dyDescent="0.3">
      <c r="B319" s="211" t="s">
        <v>380</v>
      </c>
      <c r="C319" s="209" t="s">
        <v>366</v>
      </c>
      <c r="D319" s="209" t="s">
        <v>364</v>
      </c>
    </row>
    <row r="320" spans="1:7" ht="13" outlineLevel="1" thickBot="1" x14ac:dyDescent="0.3">
      <c r="B320" s="225" t="s">
        <v>181</v>
      </c>
      <c r="C320" s="195">
        <v>673.02680287500016</v>
      </c>
      <c r="D320" s="195">
        <v>1722.0886830000004</v>
      </c>
    </row>
    <row r="321" spans="1:10" ht="13" outlineLevel="1" thickBot="1" x14ac:dyDescent="0.3">
      <c r="B321" s="225" t="s">
        <v>182</v>
      </c>
      <c r="C321" s="195">
        <v>3044.8833423750007</v>
      </c>
      <c r="D321" s="195">
        <v>7781.3685416250019</v>
      </c>
    </row>
    <row r="323" spans="1:10" ht="15.65" customHeight="1" thickBot="1" x14ac:dyDescent="0.3">
      <c r="A323" s="215" t="s">
        <v>382</v>
      </c>
      <c r="C323" s="215"/>
    </row>
    <row r="324" spans="1:10" ht="13" outlineLevel="1" thickBot="1" x14ac:dyDescent="0.3">
      <c r="B324" s="211" t="s">
        <v>299</v>
      </c>
      <c r="C324" s="233" t="s">
        <v>313</v>
      </c>
    </row>
    <row r="325" spans="1:10" ht="25.5" outlineLevel="1" thickBot="1" x14ac:dyDescent="0.3">
      <c r="B325" s="211" t="s">
        <v>192</v>
      </c>
      <c r="C325" s="220">
        <v>419680.81445062504</v>
      </c>
    </row>
    <row r="326" spans="1:10" ht="13" outlineLevel="1" thickBot="1" x14ac:dyDescent="0.3">
      <c r="B326" s="210" t="s">
        <v>264</v>
      </c>
      <c r="C326" s="195">
        <v>5485.821732562501</v>
      </c>
    </row>
    <row r="327" spans="1:10" ht="25.5" outlineLevel="1" thickBot="1" x14ac:dyDescent="0.3">
      <c r="B327" s="211" t="s">
        <v>316</v>
      </c>
      <c r="C327" s="220">
        <v>64027.043409164078</v>
      </c>
    </row>
    <row r="328" spans="1:10" ht="13" outlineLevel="1" thickBot="1" x14ac:dyDescent="0.3">
      <c r="B328" s="210" t="s">
        <v>167</v>
      </c>
      <c r="C328" s="220">
        <v>51360.688013906263</v>
      </c>
    </row>
    <row r="330" spans="1:10" ht="15.5" thickBot="1" x14ac:dyDescent="0.3">
      <c r="A330" s="215" t="s">
        <v>383</v>
      </c>
      <c r="C330" s="234"/>
      <c r="D330" s="234"/>
      <c r="E330" s="234"/>
      <c r="F330" s="234"/>
      <c r="G330" s="234"/>
      <c r="H330" s="234"/>
      <c r="I330" s="234"/>
      <c r="J330" s="234"/>
    </row>
    <row r="331" spans="1:10" ht="13" outlineLevel="1" thickBot="1" x14ac:dyDescent="0.3">
      <c r="B331" s="212" t="s">
        <v>299</v>
      </c>
      <c r="C331" s="224" t="s">
        <v>70</v>
      </c>
      <c r="D331" s="224" t="s">
        <v>71</v>
      </c>
      <c r="E331" s="224" t="s">
        <v>72</v>
      </c>
      <c r="F331" s="224" t="s">
        <v>73</v>
      </c>
      <c r="G331" s="224" t="s">
        <v>74</v>
      </c>
      <c r="H331" s="224" t="s">
        <v>75</v>
      </c>
      <c r="I331" s="224" t="s">
        <v>76</v>
      </c>
      <c r="J331" s="224" t="s">
        <v>272</v>
      </c>
    </row>
    <row r="332" spans="1:10" ht="13" outlineLevel="1" thickBot="1" x14ac:dyDescent="0.3">
      <c r="B332" s="210" t="s">
        <v>83</v>
      </c>
      <c r="C332" s="193">
        <v>3.6</v>
      </c>
      <c r="D332" s="193">
        <v>4.5</v>
      </c>
      <c r="E332" s="193">
        <v>5.3</v>
      </c>
      <c r="F332" s="193">
        <v>6.7</v>
      </c>
      <c r="G332" s="193">
        <v>8</v>
      </c>
      <c r="H332" s="193">
        <v>8.8000000000000007</v>
      </c>
      <c r="I332" s="193">
        <v>19.8</v>
      </c>
      <c r="J332" s="193">
        <v>39.6</v>
      </c>
    </row>
    <row r="333" spans="1:10" ht="13" outlineLevel="1" thickBot="1" x14ac:dyDescent="0.3">
      <c r="B333" s="210" t="s">
        <v>366</v>
      </c>
      <c r="C333" s="220">
        <v>51290.146687500011</v>
      </c>
      <c r="D333" s="220">
        <v>64112.683359375013</v>
      </c>
      <c r="E333" s="220">
        <v>67318.943016937512</v>
      </c>
      <c r="F333" s="220">
        <v>70523.951695312513</v>
      </c>
      <c r="G333" s="220">
        <v>121814.09838281253</v>
      </c>
      <c r="H333" s="220">
        <v>403269.40382006258</v>
      </c>
      <c r="I333" s="220">
        <v>530853.01821562508</v>
      </c>
      <c r="J333" s="220">
        <v>1547910.3564658128</v>
      </c>
    </row>
    <row r="334" spans="1:10" ht="13" outlineLevel="1" thickBot="1" x14ac:dyDescent="0.3">
      <c r="B334" s="210" t="s">
        <v>364</v>
      </c>
      <c r="C334" s="220">
        <v>9261.3232530000005</v>
      </c>
      <c r="D334" s="220">
        <v>9878.1023249999998</v>
      </c>
      <c r="E334" s="220">
        <v>10496.086043625</v>
      </c>
      <c r="F334" s="220">
        <v>11112.865115625002</v>
      </c>
      <c r="G334" s="220">
        <v>12347.627906250002</v>
      </c>
      <c r="H334" s="220">
        <v>18521.441859375002</v>
      </c>
      <c r="I334" s="220">
        <v>24695.255812500003</v>
      </c>
      <c r="J334" s="220">
        <v>74529.077395500004</v>
      </c>
    </row>
    <row r="335" spans="1:10" ht="25.5" outlineLevel="1" thickBot="1" x14ac:dyDescent="0.3">
      <c r="B335" s="210" t="s">
        <v>193</v>
      </c>
      <c r="C335" s="220">
        <v>9878.1023249999998</v>
      </c>
      <c r="D335" s="220">
        <v>11112.865115625002</v>
      </c>
      <c r="E335" s="220">
        <v>12347.627906250002</v>
      </c>
      <c r="F335" s="220">
        <v>14817.153487500002</v>
      </c>
      <c r="G335" s="220">
        <v>18521.441859375002</v>
      </c>
      <c r="H335" s="220">
        <v>24695.255812500003</v>
      </c>
      <c r="I335" s="220">
        <v>30869.069765625001</v>
      </c>
      <c r="J335" s="220">
        <v>89435.374733250006</v>
      </c>
    </row>
    <row r="336" spans="1:10" ht="13" outlineLevel="1" thickBot="1" x14ac:dyDescent="0.3">
      <c r="B336" s="210" t="s">
        <v>384</v>
      </c>
      <c r="C336" s="220">
        <v>5824.4664318750001</v>
      </c>
      <c r="D336" s="220">
        <v>7280.8842015000009</v>
      </c>
      <c r="E336" s="220">
        <v>8574.6746767500008</v>
      </c>
      <c r="F336" s="220">
        <v>10839.410331750001</v>
      </c>
      <c r="G336" s="220">
        <v>12942.723339</v>
      </c>
      <c r="H336" s="220">
        <v>14236.513814250002</v>
      </c>
      <c r="I336" s="220">
        <v>32032.758405375003</v>
      </c>
      <c r="J336" s="220">
        <v>64065.516810750007</v>
      </c>
    </row>
    <row r="338" spans="1:10" ht="15.5" thickBot="1" x14ac:dyDescent="0.3">
      <c r="A338" s="215" t="s">
        <v>385</v>
      </c>
      <c r="B338" s="215"/>
      <c r="C338" s="215"/>
      <c r="D338" s="215"/>
      <c r="E338" s="215"/>
      <c r="F338" s="215"/>
      <c r="G338" s="215"/>
      <c r="H338" s="215"/>
      <c r="I338" s="215"/>
    </row>
    <row r="339" spans="1:10" ht="13" outlineLevel="1" thickBot="1" x14ac:dyDescent="0.3">
      <c r="B339" s="212" t="s">
        <v>299</v>
      </c>
      <c r="C339" s="235" t="s">
        <v>70</v>
      </c>
      <c r="D339" s="235" t="s">
        <v>71</v>
      </c>
      <c r="E339" s="235" t="s">
        <v>72</v>
      </c>
      <c r="F339" s="235" t="s">
        <v>73</v>
      </c>
      <c r="G339" s="235" t="s">
        <v>74</v>
      </c>
      <c r="H339" s="235" t="s">
        <v>75</v>
      </c>
      <c r="I339" s="235" t="s">
        <v>76</v>
      </c>
      <c r="J339" s="235" t="s">
        <v>272</v>
      </c>
    </row>
    <row r="340" spans="1:10" ht="13" outlineLevel="1" thickBot="1" x14ac:dyDescent="0.3">
      <c r="B340" s="210" t="s">
        <v>83</v>
      </c>
      <c r="C340" s="193">
        <v>3.4</v>
      </c>
      <c r="D340" s="193">
        <v>4.2</v>
      </c>
      <c r="E340" s="193">
        <v>5.2</v>
      </c>
      <c r="F340" s="193">
        <v>6.5</v>
      </c>
      <c r="G340" s="193">
        <v>7.8</v>
      </c>
      <c r="H340" s="193">
        <v>8</v>
      </c>
      <c r="I340" s="193">
        <v>18</v>
      </c>
      <c r="J340" s="193">
        <v>27</v>
      </c>
    </row>
    <row r="341" spans="1:10" ht="13" outlineLevel="1" thickBot="1" x14ac:dyDescent="0.3">
      <c r="B341" s="210" t="s">
        <v>386</v>
      </c>
      <c r="C341" s="193">
        <v>1500</v>
      </c>
      <c r="D341" s="193">
        <v>1750</v>
      </c>
      <c r="E341" s="193">
        <v>2000</v>
      </c>
      <c r="F341" s="193">
        <v>2500</v>
      </c>
      <c r="G341" s="193">
        <v>3500</v>
      </c>
      <c r="H341" s="193">
        <v>4000</v>
      </c>
      <c r="I341" s="193">
        <v>5000</v>
      </c>
      <c r="J341" s="193">
        <v>7500</v>
      </c>
    </row>
    <row r="342" spans="1:10" ht="13" outlineLevel="1" thickBot="1" x14ac:dyDescent="0.3">
      <c r="B342" s="210" t="s">
        <v>366</v>
      </c>
      <c r="C342" s="220">
        <v>12822.536671875003</v>
      </c>
      <c r="D342" s="220">
        <v>16028.796329437504</v>
      </c>
      <c r="E342" s="220">
        <v>19233.805007812505</v>
      </c>
      <c r="F342" s="220">
        <v>22440.064665375005</v>
      </c>
      <c r="G342" s="220">
        <v>25645.073343750006</v>
      </c>
      <c r="H342" s="220">
        <v>44878.878351562511</v>
      </c>
      <c r="I342" s="220">
        <v>64112.683359375013</v>
      </c>
      <c r="J342" s="220">
        <v>192338.05007812503</v>
      </c>
    </row>
    <row r="343" spans="1:10" ht="13" outlineLevel="1" thickBot="1" x14ac:dyDescent="0.3">
      <c r="B343" s="210" t="s">
        <v>364</v>
      </c>
      <c r="C343" s="220">
        <v>7408.5767437500008</v>
      </c>
      <c r="D343" s="220">
        <v>8643.3395343749999</v>
      </c>
      <c r="E343" s="220">
        <v>9878.1023249999998</v>
      </c>
      <c r="F343" s="220">
        <v>11112.865115625002</v>
      </c>
      <c r="G343" s="220">
        <v>12347.627906250002</v>
      </c>
      <c r="H343" s="220">
        <v>18521.441859375002</v>
      </c>
      <c r="I343" s="220">
        <v>24695.255812500003</v>
      </c>
      <c r="J343" s="220">
        <v>74529.077395500004</v>
      </c>
    </row>
    <row r="344" spans="1:10" ht="13" outlineLevel="1" thickBot="1" x14ac:dyDescent="0.3">
      <c r="B344" s="210" t="s">
        <v>387</v>
      </c>
      <c r="C344" s="220">
        <v>4939.0511624999999</v>
      </c>
      <c r="D344" s="220">
        <v>5557.0348811250005</v>
      </c>
      <c r="E344" s="220">
        <v>6173.8139531250008</v>
      </c>
      <c r="F344" s="220">
        <v>7408.5767437500008</v>
      </c>
      <c r="G344" s="220">
        <v>9261.3232530000005</v>
      </c>
      <c r="H344" s="220">
        <v>12347.627906250002</v>
      </c>
      <c r="I344" s="220">
        <v>15435.137206125</v>
      </c>
      <c r="J344" s="220">
        <v>44717.687366625003</v>
      </c>
    </row>
    <row r="345" spans="1:10" ht="13" outlineLevel="1" thickBot="1" x14ac:dyDescent="0.3">
      <c r="B345" s="237" t="s">
        <v>389</v>
      </c>
      <c r="C345" s="236">
        <v>4203.2900700000009</v>
      </c>
      <c r="D345" s="236">
        <v>4903.8384150000011</v>
      </c>
      <c r="E345" s="236">
        <v>5604.3867600000012</v>
      </c>
      <c r="F345" s="236">
        <v>7005.4834500000015</v>
      </c>
      <c r="G345" s="236">
        <v>9807.6768300000022</v>
      </c>
      <c r="H345" s="236">
        <v>11208.773520000002</v>
      </c>
      <c r="I345" s="236">
        <v>14010.966900000003</v>
      </c>
      <c r="J345" s="236">
        <v>21016.450350000003</v>
      </c>
    </row>
    <row r="346" spans="1:10" ht="13" outlineLevel="1" thickBot="1" x14ac:dyDescent="0.3">
      <c r="B346" s="210" t="s">
        <v>388</v>
      </c>
      <c r="C346" s="236">
        <v>4654.754559</v>
      </c>
      <c r="D346" s="236">
        <v>5430.5469855000001</v>
      </c>
      <c r="E346" s="236">
        <v>6206.3394120000003</v>
      </c>
      <c r="F346" s="236">
        <v>7757.9242650000006</v>
      </c>
      <c r="G346" s="236">
        <v>10861.093971</v>
      </c>
      <c r="H346" s="236">
        <v>12456.0461025</v>
      </c>
      <c r="I346" s="236">
        <v>15515.848530000001</v>
      </c>
      <c r="J346" s="236">
        <v>23273.772795000001</v>
      </c>
    </row>
    <row r="347" spans="1:10" ht="13" outlineLevel="1" thickBot="1" x14ac:dyDescent="0.3">
      <c r="B347" s="210" t="s">
        <v>384</v>
      </c>
      <c r="C347" s="236">
        <v>5500.4164897500004</v>
      </c>
      <c r="D347" s="236">
        <v>6795.4116116250007</v>
      </c>
      <c r="E347" s="236">
        <v>8413.2520290000011</v>
      </c>
      <c r="F347" s="236">
        <v>10516.56503625</v>
      </c>
      <c r="G347" s="236">
        <v>12618.673396875001</v>
      </c>
      <c r="H347" s="236">
        <v>12942.723339</v>
      </c>
      <c r="I347" s="236">
        <v>29121.127512750001</v>
      </c>
      <c r="J347" s="236">
        <v>43681.691269125004</v>
      </c>
    </row>
    <row r="349" spans="1:10" ht="15.5" thickBot="1" x14ac:dyDescent="0.3">
      <c r="A349" s="215" t="s">
        <v>390</v>
      </c>
      <c r="C349" s="215"/>
      <c r="D349" s="215"/>
      <c r="E349" s="215"/>
      <c r="F349" s="215"/>
      <c r="G349" s="215"/>
      <c r="H349" s="215"/>
      <c r="I349" s="215"/>
      <c r="J349" s="215"/>
    </row>
    <row r="350" spans="1:10" ht="13" outlineLevel="1" thickBot="1" x14ac:dyDescent="0.3">
      <c r="B350" s="212" t="s">
        <v>299</v>
      </c>
      <c r="C350" s="235" t="s">
        <v>70</v>
      </c>
      <c r="D350" s="235" t="s">
        <v>71</v>
      </c>
      <c r="E350" s="235" t="s">
        <v>72</v>
      </c>
      <c r="F350" s="235" t="s">
        <v>73</v>
      </c>
      <c r="G350" s="235" t="s">
        <v>74</v>
      </c>
      <c r="H350" s="235" t="s">
        <v>75</v>
      </c>
      <c r="I350" s="235" t="s">
        <v>76</v>
      </c>
      <c r="J350" s="235" t="s">
        <v>272</v>
      </c>
    </row>
    <row r="351" spans="1:10" ht="13" outlineLevel="1" thickBot="1" x14ac:dyDescent="0.3">
      <c r="B351" s="210" t="s">
        <v>83</v>
      </c>
      <c r="C351" s="193">
        <v>3.1</v>
      </c>
      <c r="D351" s="193">
        <v>3.9</v>
      </c>
      <c r="E351" s="193">
        <v>4.8</v>
      </c>
      <c r="F351" s="193">
        <v>6</v>
      </c>
      <c r="G351" s="193">
        <v>7.2</v>
      </c>
      <c r="H351" s="193">
        <v>9.6</v>
      </c>
      <c r="I351" s="193">
        <v>14.4</v>
      </c>
      <c r="J351" s="193">
        <v>21.6</v>
      </c>
    </row>
    <row r="352" spans="1:10" ht="13" outlineLevel="1" thickBot="1" x14ac:dyDescent="0.3">
      <c r="B352" s="210" t="s">
        <v>386</v>
      </c>
      <c r="C352" s="193">
        <v>1000</v>
      </c>
      <c r="D352" s="193">
        <v>1250</v>
      </c>
      <c r="E352" s="193">
        <v>1500</v>
      </c>
      <c r="F352" s="193">
        <v>1750</v>
      </c>
      <c r="G352" s="193">
        <v>2000</v>
      </c>
      <c r="H352" s="193">
        <v>3000</v>
      </c>
      <c r="I352" s="193">
        <v>4500</v>
      </c>
      <c r="J352" s="193">
        <v>6750</v>
      </c>
    </row>
    <row r="353" spans="1:10" ht="13" outlineLevel="1" thickBot="1" x14ac:dyDescent="0.3">
      <c r="B353" s="210" t="s">
        <v>366</v>
      </c>
      <c r="C353" s="236">
        <v>7373.2713311250018</v>
      </c>
      <c r="D353" s="236">
        <v>9232.2264037500026</v>
      </c>
      <c r="E353" s="236">
        <v>10643.330927250003</v>
      </c>
      <c r="F353" s="236">
        <v>11187.506873812503</v>
      </c>
      <c r="G353" s="236">
        <v>11732.933799562503</v>
      </c>
      <c r="H353" s="236">
        <v>13880.865064500003</v>
      </c>
      <c r="I353" s="236">
        <v>15996.270870562503</v>
      </c>
      <c r="J353" s="236">
        <v>23995.031795437506</v>
      </c>
    </row>
    <row r="354" spans="1:10" ht="13" outlineLevel="1" thickBot="1" x14ac:dyDescent="0.3">
      <c r="B354" s="210" t="s">
        <v>364</v>
      </c>
      <c r="C354" s="236">
        <v>8520.4655786250005</v>
      </c>
      <c r="D354" s="236">
        <v>10668.350511000001</v>
      </c>
      <c r="E354" s="236">
        <v>12298.237394625001</v>
      </c>
      <c r="F354" s="236">
        <v>12928.267579500001</v>
      </c>
      <c r="G354" s="236">
        <v>13558.297764375</v>
      </c>
      <c r="H354" s="236">
        <v>16039.869811875002</v>
      </c>
      <c r="I354" s="236">
        <v>18484.097814000001</v>
      </c>
      <c r="J354" s="236">
        <v>27726.146721000001</v>
      </c>
    </row>
    <row r="355" spans="1:10" ht="13" outlineLevel="1" thickBot="1" x14ac:dyDescent="0.3">
      <c r="B355" s="210" t="s">
        <v>389</v>
      </c>
      <c r="C355" s="236">
        <v>0</v>
      </c>
      <c r="D355" s="236">
        <v>0</v>
      </c>
      <c r="E355" s="236">
        <v>0</v>
      </c>
      <c r="F355" s="236">
        <v>0</v>
      </c>
      <c r="G355" s="236">
        <v>0</v>
      </c>
      <c r="H355" s="236">
        <v>0</v>
      </c>
      <c r="I355" s="236">
        <v>0</v>
      </c>
      <c r="J355" s="236">
        <v>0</v>
      </c>
    </row>
    <row r="356" spans="1:10" ht="13" outlineLevel="1" thickBot="1" x14ac:dyDescent="0.3">
      <c r="B356" s="210" t="s">
        <v>388</v>
      </c>
      <c r="C356" s="236">
        <v>2802.1933800000006</v>
      </c>
      <c r="D356" s="236">
        <v>3502.7417250000008</v>
      </c>
      <c r="E356" s="236">
        <v>4203.2900700000009</v>
      </c>
      <c r="F356" s="236">
        <v>4903.8384150000011</v>
      </c>
      <c r="G356" s="236">
        <v>5604.3867600000012</v>
      </c>
      <c r="H356" s="236">
        <v>8406.5801400000018</v>
      </c>
      <c r="I356" s="236">
        <v>12609.870210000003</v>
      </c>
      <c r="J356" s="236">
        <v>18914.805315000005</v>
      </c>
    </row>
    <row r="357" spans="1:10" ht="13" outlineLevel="1" thickBot="1" x14ac:dyDescent="0.3">
      <c r="B357" s="210" t="s">
        <v>384</v>
      </c>
      <c r="C357" s="236">
        <v>3103.1697060000001</v>
      </c>
      <c r="D357" s="236">
        <v>3878.9621325000003</v>
      </c>
      <c r="E357" s="236">
        <v>4654.754559</v>
      </c>
      <c r="F357" s="236">
        <v>5430.5469855000001</v>
      </c>
      <c r="G357" s="236">
        <v>6206.3394120000003</v>
      </c>
      <c r="H357" s="236">
        <v>9309.5091179999999</v>
      </c>
      <c r="I357" s="236">
        <v>13964.263677000001</v>
      </c>
      <c r="J357" s="236">
        <v>20946.3955155</v>
      </c>
    </row>
    <row r="359" spans="1:10" ht="15.5" thickBot="1" x14ac:dyDescent="0.3">
      <c r="A359" s="215" t="s">
        <v>391</v>
      </c>
      <c r="B359" s="215"/>
      <c r="C359" s="215"/>
      <c r="D359" s="215"/>
      <c r="E359" s="215"/>
      <c r="F359" s="215"/>
      <c r="G359" s="215"/>
      <c r="H359" s="215"/>
      <c r="I359" s="215"/>
    </row>
    <row r="360" spans="1:10" ht="13" outlineLevel="1" thickBot="1" x14ac:dyDescent="0.3">
      <c r="B360" s="212" t="s">
        <v>299</v>
      </c>
      <c r="C360" s="235" t="s">
        <v>70</v>
      </c>
      <c r="D360" s="235" t="s">
        <v>71</v>
      </c>
      <c r="E360" s="235" t="s">
        <v>72</v>
      </c>
      <c r="F360" s="235" t="s">
        <v>73</v>
      </c>
      <c r="G360" s="235" t="s">
        <v>74</v>
      </c>
      <c r="H360" s="235" t="s">
        <v>75</v>
      </c>
      <c r="I360" s="235" t="s">
        <v>76</v>
      </c>
      <c r="J360" s="235" t="s">
        <v>272</v>
      </c>
    </row>
    <row r="361" spans="1:10" ht="13" outlineLevel="1" thickBot="1" x14ac:dyDescent="0.3">
      <c r="B361" s="210" t="s">
        <v>83</v>
      </c>
      <c r="C361" s="238">
        <v>1.8</v>
      </c>
      <c r="D361" s="238">
        <v>2.2999999999999998</v>
      </c>
      <c r="E361" s="238">
        <v>2.7</v>
      </c>
      <c r="F361" s="238">
        <v>3.4</v>
      </c>
      <c r="G361" s="238">
        <v>4</v>
      </c>
      <c r="H361" s="238">
        <v>8</v>
      </c>
      <c r="I361" s="238">
        <v>12.1</v>
      </c>
      <c r="J361" s="238">
        <v>18.149999999999999</v>
      </c>
    </row>
    <row r="362" spans="1:10" ht="13" outlineLevel="1" thickBot="1" x14ac:dyDescent="0.3">
      <c r="B362" s="210" t="s">
        <v>386</v>
      </c>
      <c r="C362" s="193">
        <v>1250</v>
      </c>
      <c r="D362" s="193">
        <v>1350</v>
      </c>
      <c r="E362" s="193">
        <v>1425</v>
      </c>
      <c r="F362" s="193">
        <v>1500</v>
      </c>
      <c r="G362" s="193">
        <v>1750</v>
      </c>
      <c r="H362" s="193">
        <v>2000</v>
      </c>
      <c r="I362" s="193">
        <v>2500</v>
      </c>
      <c r="J362" s="193">
        <v>3750</v>
      </c>
    </row>
    <row r="363" spans="1:10" ht="13" outlineLevel="1" thickBot="1" x14ac:dyDescent="0.3">
      <c r="B363" s="210" t="s">
        <v>366</v>
      </c>
      <c r="C363" s="236">
        <v>25645.073343750006</v>
      </c>
      <c r="D363" s="236">
        <v>28851.333001312505</v>
      </c>
      <c r="E363" s="236">
        <v>32056.341679687506</v>
      </c>
      <c r="F363" s="236">
        <v>35262.601337250009</v>
      </c>
      <c r="G363" s="236">
        <v>44878.878351562511</v>
      </c>
      <c r="H363" s="236">
        <v>53854.654021875009</v>
      </c>
      <c r="I363" s="236">
        <v>102580.29337500002</v>
      </c>
      <c r="J363" s="236">
        <v>153870.44006250004</v>
      </c>
    </row>
    <row r="364" spans="1:10" ht="13" outlineLevel="1" thickBot="1" x14ac:dyDescent="0.3">
      <c r="B364" s="210" t="s">
        <v>364</v>
      </c>
      <c r="C364" s="236">
        <v>2469.52558125</v>
      </c>
      <c r="D364" s="236">
        <v>2777.9151172500001</v>
      </c>
      <c r="E364" s="236">
        <v>3087.5092998750001</v>
      </c>
      <c r="F364" s="236">
        <v>3395.8988358750003</v>
      </c>
      <c r="G364" s="236">
        <v>3704.2883718750004</v>
      </c>
      <c r="H364" s="236">
        <v>4939.0511624999999</v>
      </c>
      <c r="I364" s="236">
        <v>6173.8139531250008</v>
      </c>
      <c r="J364" s="236">
        <v>9261.3232530000005</v>
      </c>
    </row>
    <row r="365" spans="1:10" ht="25.5" outlineLevel="1" thickBot="1" x14ac:dyDescent="0.3">
      <c r="B365" s="210" t="s">
        <v>193</v>
      </c>
      <c r="C365" s="236">
        <v>7408.5767437500008</v>
      </c>
      <c r="D365" s="236">
        <v>8334.9499983750011</v>
      </c>
      <c r="E365" s="236">
        <v>9261.3232530000005</v>
      </c>
      <c r="F365" s="236">
        <v>11112.865115625002</v>
      </c>
      <c r="G365" s="236">
        <v>13890.780232875</v>
      </c>
      <c r="H365" s="236">
        <v>18521.441859375002</v>
      </c>
      <c r="I365" s="236">
        <v>23148.489546000001</v>
      </c>
      <c r="J365" s="236">
        <v>34722.734319000003</v>
      </c>
    </row>
    <row r="366" spans="1:10" ht="13" outlineLevel="1" thickBot="1" x14ac:dyDescent="0.3">
      <c r="B366" s="210" t="s">
        <v>389</v>
      </c>
      <c r="C366" s="236">
        <v>3502.7417250000008</v>
      </c>
      <c r="D366" s="236">
        <v>3782.9610630000006</v>
      </c>
      <c r="E366" s="236">
        <v>3993.1255665000008</v>
      </c>
      <c r="F366" s="236">
        <v>4203.2900700000009</v>
      </c>
      <c r="G366" s="236">
        <v>4903.8384150000011</v>
      </c>
      <c r="H366" s="236">
        <v>5604.3867600000012</v>
      </c>
      <c r="I366" s="236">
        <v>7005.4834500000015</v>
      </c>
      <c r="J366" s="236">
        <v>10508.225175000001</v>
      </c>
    </row>
    <row r="367" spans="1:10" ht="13" outlineLevel="1" thickBot="1" x14ac:dyDescent="0.3">
      <c r="B367" s="210" t="s">
        <v>388</v>
      </c>
      <c r="C367" s="236">
        <v>3878.9621325000003</v>
      </c>
      <c r="D367" s="236">
        <v>4189.7609617500002</v>
      </c>
      <c r="E367" s="236">
        <v>4422.2577603750005</v>
      </c>
      <c r="F367" s="236">
        <v>4654.754559</v>
      </c>
      <c r="G367" s="236">
        <v>5430.5469855000001</v>
      </c>
      <c r="H367" s="236">
        <v>6206.3394120000003</v>
      </c>
      <c r="I367" s="236">
        <v>7757.9242650000006</v>
      </c>
      <c r="J367" s="236">
        <v>11636.8863975</v>
      </c>
    </row>
    <row r="368" spans="1:10" ht="13" outlineLevel="1" thickBot="1" x14ac:dyDescent="0.3">
      <c r="B368" s="210" t="s">
        <v>384</v>
      </c>
      <c r="C368" s="236">
        <v>2911.6308926250003</v>
      </c>
      <c r="D368" s="236">
        <v>3721.1534246250003</v>
      </c>
      <c r="E368" s="236">
        <v>4368.0486622500002</v>
      </c>
      <c r="F368" s="236">
        <v>5500.4164897500004</v>
      </c>
      <c r="G368" s="236">
        <v>6471.3616695000001</v>
      </c>
      <c r="H368" s="236">
        <v>12942.723339</v>
      </c>
      <c r="I368" s="236">
        <v>19575.50765625</v>
      </c>
      <c r="J368" s="236">
        <v>29363.261484375002</v>
      </c>
    </row>
    <row r="370" spans="1:10" ht="15.5" thickBot="1" x14ac:dyDescent="0.3">
      <c r="A370" s="215" t="s">
        <v>392</v>
      </c>
      <c r="B370" s="215"/>
      <c r="C370" s="215"/>
      <c r="D370" s="215"/>
      <c r="E370" s="215"/>
      <c r="F370" s="215"/>
      <c r="G370" s="215"/>
      <c r="H370" s="215"/>
      <c r="I370" s="215"/>
    </row>
    <row r="371" spans="1:10" ht="13" outlineLevel="1" thickBot="1" x14ac:dyDescent="0.3">
      <c r="B371" s="212" t="s">
        <v>299</v>
      </c>
      <c r="C371" s="235" t="s">
        <v>70</v>
      </c>
      <c r="D371" s="235" t="s">
        <v>71</v>
      </c>
      <c r="E371" s="235" t="s">
        <v>72</v>
      </c>
      <c r="F371" s="235" t="s">
        <v>73</v>
      </c>
      <c r="G371" s="235" t="s">
        <v>74</v>
      </c>
      <c r="H371" s="235" t="s">
        <v>75</v>
      </c>
      <c r="I371" s="235" t="s">
        <v>76</v>
      </c>
      <c r="J371" s="235" t="s">
        <v>272</v>
      </c>
    </row>
    <row r="372" spans="1:10" ht="13" outlineLevel="1" thickBot="1" x14ac:dyDescent="0.3">
      <c r="B372" s="210" t="s">
        <v>83</v>
      </c>
      <c r="C372" s="238">
        <v>1.8</v>
      </c>
      <c r="D372" s="238">
        <v>2.2999999999999998</v>
      </c>
      <c r="E372" s="238">
        <v>2.7</v>
      </c>
      <c r="F372" s="238">
        <v>3.4</v>
      </c>
      <c r="G372" s="238">
        <v>4</v>
      </c>
      <c r="H372" s="238">
        <v>8</v>
      </c>
      <c r="I372" s="238">
        <v>12.1</v>
      </c>
      <c r="J372" s="238">
        <v>18.149999999999999</v>
      </c>
    </row>
    <row r="373" spans="1:10" ht="13" outlineLevel="1" thickBot="1" x14ac:dyDescent="0.3">
      <c r="B373" s="210" t="s">
        <v>386</v>
      </c>
      <c r="C373" s="193">
        <v>1250</v>
      </c>
      <c r="D373" s="193">
        <v>1350</v>
      </c>
      <c r="E373" s="193">
        <v>1425</v>
      </c>
      <c r="F373" s="193">
        <v>1500</v>
      </c>
      <c r="G373" s="193">
        <v>1750</v>
      </c>
      <c r="H373" s="193">
        <v>2000</v>
      </c>
      <c r="I373" s="193">
        <v>2500</v>
      </c>
      <c r="J373" s="193">
        <v>3750</v>
      </c>
    </row>
    <row r="374" spans="1:10" ht="13" outlineLevel="1" thickBot="1" x14ac:dyDescent="0.3">
      <c r="B374" s="210" t="s">
        <v>366</v>
      </c>
      <c r="C374" s="236">
        <v>79146.951234750013</v>
      </c>
      <c r="D374" s="236">
        <v>98926.18316831252</v>
      </c>
      <c r="E374" s="236">
        <v>134765.48591100003</v>
      </c>
      <c r="F374" s="236">
        <v>148228.52392687503</v>
      </c>
      <c r="G374" s="236">
        <v>161756.61286050003</v>
      </c>
      <c r="H374" s="236">
        <v>269562.24630168756</v>
      </c>
      <c r="I374" s="236">
        <v>471741.74964787508</v>
      </c>
      <c r="J374" s="236">
        <v>707612.62447181263</v>
      </c>
    </row>
    <row r="375" spans="1:10" ht="13" outlineLevel="1" thickBot="1" x14ac:dyDescent="0.3">
      <c r="B375" s="210" t="s">
        <v>364</v>
      </c>
      <c r="C375" s="236">
        <v>2469.52558125</v>
      </c>
      <c r="D375" s="236">
        <v>2777.9151172500001</v>
      </c>
      <c r="E375" s="236">
        <v>3087.5092998750001</v>
      </c>
      <c r="F375" s="236">
        <v>3395.8988358750003</v>
      </c>
      <c r="G375" s="236">
        <v>3704.2883718750004</v>
      </c>
      <c r="H375" s="236">
        <v>4939.0511624999999</v>
      </c>
      <c r="I375" s="236">
        <v>6173.8139531250008</v>
      </c>
      <c r="J375" s="236">
        <v>9261.3232530000005</v>
      </c>
    </row>
    <row r="376" spans="1:10" ht="25.5" outlineLevel="1" thickBot="1" x14ac:dyDescent="0.3">
      <c r="B376" s="210" t="s">
        <v>193</v>
      </c>
      <c r="C376" s="236">
        <v>7408.5767437500008</v>
      </c>
      <c r="D376" s="236">
        <v>8334.9499983750011</v>
      </c>
      <c r="E376" s="236">
        <v>9261.3232530000005</v>
      </c>
      <c r="F376" s="236">
        <v>11112.865115625002</v>
      </c>
      <c r="G376" s="236">
        <v>13890.780232875</v>
      </c>
      <c r="H376" s="236">
        <v>18521.441859375002</v>
      </c>
      <c r="I376" s="236">
        <v>23148.489546000001</v>
      </c>
      <c r="J376" s="236">
        <v>34722.734319000003</v>
      </c>
    </row>
    <row r="377" spans="1:10" ht="13" outlineLevel="1" thickBot="1" x14ac:dyDescent="0.3">
      <c r="B377" s="210" t="s">
        <v>389</v>
      </c>
      <c r="C377" s="236">
        <v>3502.7417250000008</v>
      </c>
      <c r="D377" s="236">
        <v>3782.9610630000006</v>
      </c>
      <c r="E377" s="236">
        <v>3993.1255665000008</v>
      </c>
      <c r="F377" s="236">
        <v>4203.2900700000009</v>
      </c>
      <c r="G377" s="236">
        <v>4903.8384150000011</v>
      </c>
      <c r="H377" s="236">
        <v>5604.3867600000012</v>
      </c>
      <c r="I377" s="236">
        <v>7005.4834500000015</v>
      </c>
      <c r="J377" s="236">
        <v>10508.225175000001</v>
      </c>
    </row>
    <row r="378" spans="1:10" ht="13" outlineLevel="1" thickBot="1" x14ac:dyDescent="0.3">
      <c r="B378" s="210" t="s">
        <v>388</v>
      </c>
      <c r="C378" s="236">
        <v>3878.9621325000003</v>
      </c>
      <c r="D378" s="236">
        <v>4189.7609617500002</v>
      </c>
      <c r="E378" s="236">
        <v>4422.2577603750005</v>
      </c>
      <c r="F378" s="236">
        <v>4654.754559</v>
      </c>
      <c r="G378" s="236">
        <v>5430.5469855000001</v>
      </c>
      <c r="H378" s="236">
        <v>6206.3394120000003</v>
      </c>
      <c r="I378" s="236">
        <v>7757.9242650000006</v>
      </c>
      <c r="J378" s="236">
        <v>11636.8863975</v>
      </c>
    </row>
    <row r="379" spans="1:10" ht="13" outlineLevel="1" thickBot="1" x14ac:dyDescent="0.3">
      <c r="B379" s="210" t="s">
        <v>384</v>
      </c>
      <c r="C379" s="236">
        <v>2911.6308926250003</v>
      </c>
      <c r="D379" s="236">
        <v>3721.1534246250003</v>
      </c>
      <c r="E379" s="236">
        <v>4368.0486622500002</v>
      </c>
      <c r="F379" s="236">
        <v>5500.4164897500004</v>
      </c>
      <c r="G379" s="236">
        <v>6471.3616695000001</v>
      </c>
      <c r="H379" s="236">
        <v>12942.723339</v>
      </c>
      <c r="I379" s="236">
        <v>19575.50765625</v>
      </c>
      <c r="J379" s="236">
        <v>29363.261484375002</v>
      </c>
    </row>
    <row r="381" spans="1:10" ht="15.5" thickBot="1" x14ac:dyDescent="0.3">
      <c r="A381" s="215" t="s">
        <v>393</v>
      </c>
      <c r="B381" s="215"/>
      <c r="C381" s="215"/>
      <c r="D381" s="215"/>
      <c r="E381" s="215"/>
      <c r="F381" s="215"/>
      <c r="G381" s="215"/>
      <c r="H381" s="215"/>
      <c r="I381" s="215"/>
    </row>
    <row r="382" spans="1:10" ht="13" outlineLevel="1" thickBot="1" x14ac:dyDescent="0.3">
      <c r="B382" s="212" t="s">
        <v>299</v>
      </c>
      <c r="C382" s="235" t="s">
        <v>70</v>
      </c>
      <c r="D382" s="235" t="s">
        <v>71</v>
      </c>
      <c r="E382" s="235" t="s">
        <v>72</v>
      </c>
      <c r="F382" s="235" t="s">
        <v>73</v>
      </c>
      <c r="G382" s="235" t="s">
        <v>74</v>
      </c>
      <c r="H382" s="235" t="s">
        <v>75</v>
      </c>
      <c r="I382" s="235" t="s">
        <v>76</v>
      </c>
      <c r="J382" s="235" t="s">
        <v>272</v>
      </c>
    </row>
    <row r="383" spans="1:10" ht="13" outlineLevel="1" thickBot="1" x14ac:dyDescent="0.3">
      <c r="B383" s="210" t="s">
        <v>70</v>
      </c>
      <c r="C383" s="195">
        <v>6054.739267500001</v>
      </c>
      <c r="D383" s="195">
        <v>4928.8579987500007</v>
      </c>
      <c r="E383" s="195">
        <v>5454.269257500001</v>
      </c>
      <c r="F383" s="195">
        <v>5741.9944706250008</v>
      </c>
      <c r="G383" s="195">
        <v>6367.4840643750013</v>
      </c>
      <c r="H383" s="195">
        <v>7818.6199218750016</v>
      </c>
      <c r="I383" s="195">
        <v>10082.892251250001</v>
      </c>
      <c r="J383" s="195">
        <v>14186.103986250004</v>
      </c>
    </row>
    <row r="384" spans="1:10" ht="13" outlineLevel="1" thickBot="1" x14ac:dyDescent="0.3">
      <c r="B384" s="210" t="s">
        <v>71</v>
      </c>
      <c r="C384" s="195">
        <v>4928.8579987500007</v>
      </c>
      <c r="D384" s="195">
        <v>6705.2484450000011</v>
      </c>
      <c r="E384" s="195">
        <v>5454.269257500001</v>
      </c>
      <c r="F384" s="195">
        <v>5741.9944706250008</v>
      </c>
      <c r="G384" s="195">
        <v>6367.4840643750013</v>
      </c>
      <c r="H384" s="195">
        <v>7430.8163737500017</v>
      </c>
      <c r="I384" s="195">
        <v>9119.6382768750027</v>
      </c>
      <c r="J384" s="195">
        <v>11671.635819375002</v>
      </c>
    </row>
    <row r="385" spans="1:13" ht="13" outlineLevel="1" thickBot="1" x14ac:dyDescent="0.3">
      <c r="B385" s="210" t="s">
        <v>72</v>
      </c>
      <c r="C385" s="195">
        <v>5454.269257500001</v>
      </c>
      <c r="D385" s="195">
        <v>5454.269257500001</v>
      </c>
      <c r="E385" s="195">
        <v>7430.8163737500017</v>
      </c>
      <c r="F385" s="195">
        <v>6054.739267500001</v>
      </c>
      <c r="G385" s="195">
        <v>6367.4840643750013</v>
      </c>
      <c r="H385" s="195">
        <v>7430.8163737500017</v>
      </c>
      <c r="I385" s="195">
        <v>9119.6382768750027</v>
      </c>
      <c r="J385" s="195">
        <v>11671.635819375002</v>
      </c>
    </row>
    <row r="386" spans="1:13" ht="13" outlineLevel="1" thickBot="1" x14ac:dyDescent="0.3">
      <c r="B386" s="210" t="s">
        <v>73</v>
      </c>
      <c r="C386" s="195">
        <v>5741.9944706250008</v>
      </c>
      <c r="D386" s="195">
        <v>5741.9944706250008</v>
      </c>
      <c r="E386" s="195">
        <v>6054.739267500001</v>
      </c>
      <c r="F386" s="195">
        <v>8231.4430537500011</v>
      </c>
      <c r="G386" s="195">
        <v>6705.2484450000011</v>
      </c>
      <c r="H386" s="195">
        <v>7818.6199218750016</v>
      </c>
      <c r="I386" s="195">
        <v>9595.0103681250021</v>
      </c>
      <c r="J386" s="195">
        <v>11671.635819375002</v>
      </c>
    </row>
    <row r="387" spans="1:13" ht="13" outlineLevel="1" thickBot="1" x14ac:dyDescent="0.3">
      <c r="B387" s="210" t="s">
        <v>74</v>
      </c>
      <c r="C387" s="195">
        <v>6367.4840643750013</v>
      </c>
      <c r="D387" s="195">
        <v>6367.4840643750013</v>
      </c>
      <c r="E387" s="195">
        <v>6367.4840643750013</v>
      </c>
      <c r="F387" s="195">
        <v>6705.2484450000011</v>
      </c>
      <c r="G387" s="195">
        <v>9119.6382768750027</v>
      </c>
      <c r="H387" s="195">
        <v>7818.6199218750016</v>
      </c>
      <c r="I387" s="195">
        <v>9595.0103681250021</v>
      </c>
      <c r="J387" s="195">
        <v>11671.635819375002</v>
      </c>
    </row>
    <row r="388" spans="1:13" ht="13" outlineLevel="1" thickBot="1" x14ac:dyDescent="0.3">
      <c r="B388" s="210" t="s">
        <v>75</v>
      </c>
      <c r="C388" s="195">
        <v>7818.6199218750016</v>
      </c>
      <c r="D388" s="195">
        <v>7430.8163737500017</v>
      </c>
      <c r="E388" s="195">
        <v>7430.8163737500017</v>
      </c>
      <c r="F388" s="195">
        <v>7818.6199218750016</v>
      </c>
      <c r="G388" s="195">
        <v>7818.6199218750016</v>
      </c>
      <c r="H388" s="195">
        <v>11108.695185000002</v>
      </c>
      <c r="I388" s="195">
        <v>10082.892251250001</v>
      </c>
      <c r="J388" s="195">
        <v>12247.086245625003</v>
      </c>
    </row>
    <row r="389" spans="1:13" ht="13" outlineLevel="1" thickBot="1" x14ac:dyDescent="0.3">
      <c r="B389" s="210" t="s">
        <v>76</v>
      </c>
      <c r="C389" s="195">
        <v>10082.892251250001</v>
      </c>
      <c r="D389" s="195">
        <v>9119.6382768750027</v>
      </c>
      <c r="E389" s="195">
        <v>9119.6382768750027</v>
      </c>
      <c r="F389" s="195">
        <v>9595.0103681250021</v>
      </c>
      <c r="G389" s="195">
        <v>9595.0103681250021</v>
      </c>
      <c r="H389" s="195">
        <v>10082.892251250001</v>
      </c>
      <c r="I389" s="195">
        <v>14886.652331250003</v>
      </c>
      <c r="J389" s="195">
        <v>13510.575225000002</v>
      </c>
    </row>
    <row r="390" spans="1:13" ht="13" outlineLevel="1" thickBot="1" x14ac:dyDescent="0.3">
      <c r="B390" s="210" t="s">
        <v>272</v>
      </c>
      <c r="C390" s="195">
        <v>14186.103986250004</v>
      </c>
      <c r="D390" s="195">
        <v>11671.635819375002</v>
      </c>
      <c r="E390" s="195">
        <v>11671.635819375002</v>
      </c>
      <c r="F390" s="195">
        <v>11671.635819375002</v>
      </c>
      <c r="G390" s="195">
        <v>11671.635819375002</v>
      </c>
      <c r="H390" s="195">
        <v>12247.086245625003</v>
      </c>
      <c r="I390" s="195">
        <v>13510.575225000002</v>
      </c>
      <c r="J390" s="195">
        <v>19953.118040625002</v>
      </c>
    </row>
    <row r="392" spans="1:13" ht="15" customHeight="1" thickBot="1" x14ac:dyDescent="0.3">
      <c r="A392" s="215" t="s">
        <v>394</v>
      </c>
      <c r="B392" s="222"/>
      <c r="C392" s="222"/>
      <c r="D392" s="222"/>
      <c r="E392" s="222"/>
      <c r="F392" s="222"/>
      <c r="G392" s="222"/>
      <c r="H392" s="222"/>
      <c r="I392" s="222"/>
    </row>
    <row r="393" spans="1:13" ht="13" outlineLevel="1" thickBot="1" x14ac:dyDescent="0.3">
      <c r="B393" s="212" t="s">
        <v>299</v>
      </c>
      <c r="C393" s="235" t="s">
        <v>70</v>
      </c>
      <c r="D393" s="235" t="s">
        <v>71</v>
      </c>
      <c r="E393" s="235" t="s">
        <v>72</v>
      </c>
      <c r="F393" s="235" t="s">
        <v>73</v>
      </c>
      <c r="G393" s="235" t="s">
        <v>74</v>
      </c>
      <c r="H393" s="235" t="s">
        <v>75</v>
      </c>
      <c r="I393" s="235" t="s">
        <v>76</v>
      </c>
      <c r="J393" s="235" t="s">
        <v>272</v>
      </c>
    </row>
    <row r="394" spans="1:13" ht="13" outlineLevel="1" thickBot="1" x14ac:dyDescent="0.3">
      <c r="B394" s="210" t="s">
        <v>634</v>
      </c>
      <c r="C394" s="195">
        <v>17406.124414875005</v>
      </c>
      <c r="D394" s="195">
        <v>17406.124414875005</v>
      </c>
      <c r="E394" s="195">
        <v>17406.124414875005</v>
      </c>
      <c r="F394" s="195">
        <v>17406.124414875005</v>
      </c>
      <c r="G394" s="195">
        <v>17406.124414875005</v>
      </c>
      <c r="H394" s="195">
        <v>21545.614546312503</v>
      </c>
      <c r="I394" s="195">
        <v>26790.970279500005</v>
      </c>
      <c r="J394" s="195">
        <v>38697.790186125007</v>
      </c>
    </row>
    <row r="395" spans="1:13" ht="25.5" outlineLevel="1" thickBot="1" x14ac:dyDescent="0.3">
      <c r="B395" s="210" t="s">
        <v>612</v>
      </c>
      <c r="C395" s="195">
        <v>12822.536671875003</v>
      </c>
      <c r="D395" s="195">
        <v>12822.536671875003</v>
      </c>
      <c r="E395" s="195">
        <v>12822.536671875003</v>
      </c>
      <c r="F395" s="195">
        <v>12822.536671875003</v>
      </c>
      <c r="G395" s="195">
        <v>12822.536671875003</v>
      </c>
      <c r="H395" s="195">
        <v>12822.536671875003</v>
      </c>
      <c r="I395" s="195">
        <v>12822.536671875003</v>
      </c>
      <c r="J395" s="195">
        <v>12822.536671875003</v>
      </c>
    </row>
    <row r="396" spans="1:13" ht="25.5" outlineLevel="1" thickBot="1" x14ac:dyDescent="0.3">
      <c r="B396" s="210" t="s">
        <v>395</v>
      </c>
      <c r="C396" s="195">
        <v>123320.27732456253</v>
      </c>
      <c r="D396" s="195">
        <v>123320.27732456253</v>
      </c>
      <c r="E396" s="195">
        <v>123320.27732456253</v>
      </c>
      <c r="F396" s="195">
        <v>123320.27732456253</v>
      </c>
      <c r="G396" s="195">
        <v>123320.27732456253</v>
      </c>
      <c r="H396" s="195">
        <v>123320.27732456253</v>
      </c>
      <c r="I396" s="195">
        <v>123320.27732456253</v>
      </c>
      <c r="J396" s="195">
        <v>123320.27732456253</v>
      </c>
    </row>
    <row r="397" spans="1:13" ht="13" outlineLevel="1" thickBot="1" x14ac:dyDescent="0.3">
      <c r="B397" s="210" t="s">
        <v>396</v>
      </c>
      <c r="C397" s="195">
        <v>244093.56102337505</v>
      </c>
      <c r="D397" s="195">
        <v>244093.56102337505</v>
      </c>
      <c r="E397" s="195">
        <v>244093.56102337505</v>
      </c>
      <c r="F397" s="195">
        <v>244093.56102337505</v>
      </c>
      <c r="G397" s="195">
        <v>244093.56102337505</v>
      </c>
      <c r="H397" s="195">
        <v>244093.56102337505</v>
      </c>
      <c r="I397" s="195">
        <v>244093.56102337505</v>
      </c>
      <c r="J397" s="195">
        <v>244093.56102337505</v>
      </c>
      <c r="M397" s="336"/>
    </row>
    <row r="398" spans="1:13" ht="13.4" customHeight="1" outlineLevel="1" x14ac:dyDescent="0.25">
      <c r="B398" s="319" t="s">
        <v>397</v>
      </c>
      <c r="C398" s="327" t="s">
        <v>603</v>
      </c>
      <c r="D398" s="328"/>
      <c r="E398" s="328"/>
      <c r="F398" s="328"/>
      <c r="G398" s="328"/>
      <c r="H398" s="328"/>
      <c r="I398" s="328"/>
      <c r="J398" s="329"/>
      <c r="M398" s="337"/>
    </row>
    <row r="399" spans="1:13" ht="13.75" customHeight="1" outlineLevel="1" thickBot="1" x14ac:dyDescent="0.3">
      <c r="B399" s="210"/>
      <c r="C399" s="323" t="s">
        <v>604</v>
      </c>
      <c r="D399" s="324"/>
      <c r="E399" s="324"/>
      <c r="F399" s="324"/>
      <c r="G399" s="324"/>
      <c r="H399" s="324"/>
      <c r="I399" s="324"/>
      <c r="J399" s="193"/>
      <c r="M399" s="337"/>
    </row>
    <row r="400" spans="1:13" ht="13.4" customHeight="1" outlineLevel="1" x14ac:dyDescent="0.25">
      <c r="B400" s="237" t="s">
        <v>398</v>
      </c>
      <c r="C400" s="327" t="s">
        <v>605</v>
      </c>
      <c r="D400" s="328"/>
      <c r="E400" s="328"/>
      <c r="F400" s="328"/>
      <c r="G400" s="328"/>
      <c r="H400" s="328"/>
      <c r="I400" s="328"/>
      <c r="J400" s="329"/>
      <c r="M400" s="337"/>
    </row>
    <row r="401" spans="1:13" ht="13.4" customHeight="1" outlineLevel="1" x14ac:dyDescent="0.25">
      <c r="B401" s="237" t="s">
        <v>399</v>
      </c>
      <c r="C401" s="321" t="s">
        <v>606</v>
      </c>
      <c r="D401" s="322"/>
      <c r="E401" s="322"/>
      <c r="F401" s="322"/>
      <c r="G401" s="322"/>
      <c r="H401" s="322"/>
      <c r="I401" s="322"/>
      <c r="J401" s="230"/>
      <c r="M401" s="337"/>
    </row>
    <row r="402" spans="1:13" ht="15" customHeight="1" outlineLevel="1" thickBot="1" x14ac:dyDescent="0.3">
      <c r="B402" s="239"/>
      <c r="C402" s="323" t="s">
        <v>607</v>
      </c>
      <c r="D402" s="324"/>
      <c r="E402" s="324"/>
      <c r="F402" s="324"/>
      <c r="G402" s="324"/>
      <c r="H402" s="324"/>
      <c r="I402" s="324"/>
      <c r="J402" s="193"/>
      <c r="M402" s="337"/>
    </row>
    <row r="403" spans="1:13" ht="50.5" outlineLevel="1" thickBot="1" x14ac:dyDescent="0.3">
      <c r="B403" s="210" t="s">
        <v>400</v>
      </c>
      <c r="C403" s="325" t="s">
        <v>608</v>
      </c>
      <c r="D403" s="326"/>
      <c r="E403" s="326"/>
      <c r="F403" s="326"/>
      <c r="G403" s="326"/>
      <c r="H403" s="326"/>
      <c r="I403" s="326"/>
      <c r="J403" s="233"/>
      <c r="M403" s="337"/>
    </row>
    <row r="405" spans="1:13" ht="15.5" thickBot="1" x14ac:dyDescent="0.3">
      <c r="A405" s="215" t="s">
        <v>401</v>
      </c>
      <c r="B405" s="215"/>
      <c r="C405" s="215"/>
      <c r="D405" s="215"/>
      <c r="E405" s="215"/>
      <c r="F405" s="215"/>
      <c r="G405" s="215"/>
      <c r="H405" s="215"/>
      <c r="I405" s="215"/>
    </row>
    <row r="406" spans="1:13" ht="13" outlineLevel="1" thickBot="1" x14ac:dyDescent="0.3">
      <c r="B406" s="212" t="s">
        <v>299</v>
      </c>
      <c r="C406" s="235" t="s">
        <v>70</v>
      </c>
      <c r="D406" s="235" t="s">
        <v>71</v>
      </c>
      <c r="E406" s="235" t="s">
        <v>72</v>
      </c>
      <c r="F406" s="235" t="s">
        <v>73</v>
      </c>
      <c r="G406" s="235" t="s">
        <v>74</v>
      </c>
      <c r="H406" s="235" t="s">
        <v>75</v>
      </c>
      <c r="I406" s="235" t="s">
        <v>76</v>
      </c>
      <c r="J406" s="235" t="s">
        <v>272</v>
      </c>
    </row>
    <row r="407" spans="1:13" ht="13" outlineLevel="1" thickBot="1" x14ac:dyDescent="0.3">
      <c r="B407" s="210" t="s">
        <v>83</v>
      </c>
      <c r="C407" s="193">
        <v>18</v>
      </c>
      <c r="D407" s="193">
        <v>18</v>
      </c>
      <c r="E407" s="193">
        <v>18</v>
      </c>
      <c r="F407" s="193">
        <v>18</v>
      </c>
      <c r="G407" s="193">
        <v>18</v>
      </c>
      <c r="H407" s="193">
        <v>36</v>
      </c>
      <c r="I407" s="193">
        <v>36</v>
      </c>
      <c r="J407" s="193">
        <v>36</v>
      </c>
    </row>
    <row r="408" spans="1:13" ht="13" outlineLevel="1" thickBot="1" x14ac:dyDescent="0.3">
      <c r="B408" s="210" t="s">
        <v>402</v>
      </c>
      <c r="C408" s="195">
        <v>370428.83718750003</v>
      </c>
      <c r="D408" s="195">
        <v>370428.83718750003</v>
      </c>
      <c r="E408" s="195">
        <v>370428.83718750003</v>
      </c>
      <c r="F408" s="195">
        <v>370428.83718750003</v>
      </c>
      <c r="G408" s="195">
        <v>370428.83718750003</v>
      </c>
      <c r="H408" s="195">
        <v>740857.67437500006</v>
      </c>
      <c r="I408" s="195">
        <v>740857.67437500006</v>
      </c>
      <c r="J408" s="195">
        <v>740857.67437500006</v>
      </c>
    </row>
    <row r="409" spans="1:13" ht="13" outlineLevel="1" thickBot="1" x14ac:dyDescent="0.3">
      <c r="B409" s="210" t="s">
        <v>200</v>
      </c>
      <c r="C409" s="195">
        <v>123476.27906250001</v>
      </c>
      <c r="D409" s="195">
        <v>123476.27906250001</v>
      </c>
      <c r="E409" s="195">
        <v>123476.27906250001</v>
      </c>
      <c r="F409" s="195">
        <v>123476.27906250001</v>
      </c>
      <c r="G409" s="195">
        <v>123476.27906250001</v>
      </c>
      <c r="H409" s="195">
        <v>246952.55812500001</v>
      </c>
      <c r="I409" s="195">
        <v>246952.55812500001</v>
      </c>
      <c r="J409" s="195">
        <v>246952.55812500001</v>
      </c>
    </row>
    <row r="410" spans="1:13" ht="13" outlineLevel="1" thickBot="1" x14ac:dyDescent="0.3">
      <c r="B410" s="210" t="s">
        <v>201</v>
      </c>
      <c r="C410" s="195">
        <v>123476.27906250001</v>
      </c>
      <c r="D410" s="195">
        <v>123476.27906250001</v>
      </c>
      <c r="E410" s="195">
        <v>123476.27906250001</v>
      </c>
      <c r="F410" s="195">
        <v>123476.27906250001</v>
      </c>
      <c r="G410" s="195">
        <v>123476.27906250001</v>
      </c>
      <c r="H410" s="195">
        <v>185214.41859375002</v>
      </c>
      <c r="I410" s="195">
        <v>185214.41859375002</v>
      </c>
      <c r="J410" s="195">
        <v>185214.41859375002</v>
      </c>
    </row>
    <row r="411" spans="1:13" ht="13" outlineLevel="1" thickBot="1" x14ac:dyDescent="0.3">
      <c r="B411" s="210" t="s">
        <v>202</v>
      </c>
      <c r="C411" s="195">
        <v>135823.90696875</v>
      </c>
      <c r="D411" s="195">
        <v>135823.90696875</v>
      </c>
      <c r="E411" s="195">
        <v>135823.90696875</v>
      </c>
      <c r="F411" s="195">
        <v>135823.90696875</v>
      </c>
      <c r="G411" s="195">
        <v>135823.90696875</v>
      </c>
      <c r="H411" s="195">
        <v>160519.16278125002</v>
      </c>
      <c r="I411" s="195">
        <v>160519.16278125002</v>
      </c>
      <c r="J411" s="195">
        <v>160519.16278125002</v>
      </c>
    </row>
    <row r="412" spans="1:13" ht="13" outlineLevel="1" thickBot="1" x14ac:dyDescent="0.3">
      <c r="B412" s="210" t="s">
        <v>384</v>
      </c>
      <c r="C412" s="195">
        <v>29121.127512750001</v>
      </c>
      <c r="D412" s="195">
        <v>29121.127512750001</v>
      </c>
      <c r="E412" s="195">
        <v>29121.127512750001</v>
      </c>
      <c r="F412" s="195">
        <v>29121.127512750001</v>
      </c>
      <c r="G412" s="195">
        <v>29121.127512750001</v>
      </c>
      <c r="H412" s="195">
        <v>58242.255025500002</v>
      </c>
      <c r="I412" s="195">
        <v>58242.255025500002</v>
      </c>
      <c r="J412" s="195">
        <v>58242.255025500002</v>
      </c>
    </row>
    <row r="414" spans="1:13" ht="15.5" thickBot="1" x14ac:dyDescent="0.3">
      <c r="A414" s="215" t="s">
        <v>403</v>
      </c>
      <c r="B414" s="215"/>
      <c r="C414" s="215"/>
      <c r="D414" s="215"/>
      <c r="E414" s="215"/>
      <c r="F414" s="215"/>
      <c r="G414" s="215"/>
      <c r="H414" s="215"/>
      <c r="I414" s="215"/>
    </row>
    <row r="415" spans="1:13" ht="13" outlineLevel="1" thickBot="1" x14ac:dyDescent="0.3">
      <c r="B415" s="212" t="s">
        <v>299</v>
      </c>
      <c r="C415" s="235" t="s">
        <v>70</v>
      </c>
      <c r="D415" s="235" t="s">
        <v>71</v>
      </c>
      <c r="E415" s="235" t="s">
        <v>72</v>
      </c>
      <c r="F415" s="235" t="s">
        <v>73</v>
      </c>
      <c r="G415" s="235" t="s">
        <v>74</v>
      </c>
      <c r="H415" s="235" t="s">
        <v>75</v>
      </c>
      <c r="I415" s="235" t="s">
        <v>76</v>
      </c>
      <c r="J415" s="235" t="s">
        <v>272</v>
      </c>
    </row>
    <row r="416" spans="1:13" ht="13" outlineLevel="1" thickBot="1" x14ac:dyDescent="0.3">
      <c r="B416" s="210" t="s">
        <v>366</v>
      </c>
      <c r="C416" s="195">
        <v>23152.103485875003</v>
      </c>
      <c r="D416" s="195">
        <v>28862.128488375001</v>
      </c>
      <c r="E416" s="195">
        <v>36116.510464125</v>
      </c>
      <c r="F416" s="195">
        <v>40747.172090625005</v>
      </c>
      <c r="G416" s="195">
        <v>45069.444181125</v>
      </c>
      <c r="H416" s="195">
        <v>60194.987204625002</v>
      </c>
      <c r="I416" s="195">
        <v>75320.530228125004</v>
      </c>
      <c r="J416" s="195">
        <v>94150.361623500008</v>
      </c>
    </row>
    <row r="417" spans="1:10" ht="13" outlineLevel="1" thickBot="1" x14ac:dyDescent="0.3">
      <c r="B417" s="210" t="s">
        <v>364</v>
      </c>
      <c r="C417" s="195">
        <v>46304.206971750005</v>
      </c>
      <c r="D417" s="195">
        <v>57725.461623375006</v>
      </c>
      <c r="E417" s="195">
        <v>72234.225574875003</v>
      </c>
      <c r="F417" s="195">
        <v>81494.34418125001</v>
      </c>
      <c r="G417" s="195">
        <v>90137.683715625011</v>
      </c>
      <c r="H417" s="195">
        <v>120389.97440925</v>
      </c>
      <c r="I417" s="195">
        <v>150641.06045625001</v>
      </c>
      <c r="J417" s="195">
        <v>188301.92789362502</v>
      </c>
    </row>
    <row r="419" spans="1:10" ht="15.5" thickBot="1" x14ac:dyDescent="0.3">
      <c r="A419" s="215" t="s">
        <v>404</v>
      </c>
      <c r="B419" s="215"/>
      <c r="C419" s="215"/>
      <c r="D419" s="215"/>
      <c r="E419" s="215"/>
      <c r="F419" s="215"/>
      <c r="G419" s="215"/>
      <c r="H419" s="215"/>
      <c r="I419" s="215"/>
    </row>
    <row r="420" spans="1:10" ht="13" outlineLevel="1" thickBot="1" x14ac:dyDescent="0.3">
      <c r="B420" s="212" t="s">
        <v>299</v>
      </c>
      <c r="C420" s="235" t="s">
        <v>70</v>
      </c>
      <c r="D420" s="235" t="s">
        <v>71</v>
      </c>
      <c r="E420" s="235" t="s">
        <v>72</v>
      </c>
      <c r="F420" s="235" t="s">
        <v>73</v>
      </c>
      <c r="G420" s="235" t="s">
        <v>74</v>
      </c>
      <c r="H420" s="235" t="s">
        <v>75</v>
      </c>
      <c r="I420" s="235" t="s">
        <v>76</v>
      </c>
      <c r="J420" s="235" t="s">
        <v>272</v>
      </c>
    </row>
    <row r="421" spans="1:10" ht="13" outlineLevel="1" thickBot="1" x14ac:dyDescent="0.3">
      <c r="B421" s="210" t="s">
        <v>366</v>
      </c>
      <c r="C421" s="195">
        <v>3704.2883718750004</v>
      </c>
      <c r="D421" s="195">
        <v>3704.2883718750004</v>
      </c>
      <c r="E421" s="195">
        <v>3704.2883718750004</v>
      </c>
      <c r="F421" s="195">
        <v>3704.2883718750004</v>
      </c>
      <c r="G421" s="195">
        <v>3704.2883718750004</v>
      </c>
      <c r="H421" s="195">
        <v>4939.0511624999999</v>
      </c>
      <c r="I421" s="195">
        <v>4939.0511624999999</v>
      </c>
      <c r="J421" s="195">
        <v>4939.0511624999999</v>
      </c>
    </row>
    <row r="422" spans="1:10" ht="13" outlineLevel="1" thickBot="1" x14ac:dyDescent="0.3">
      <c r="B422" s="210" t="s">
        <v>364</v>
      </c>
      <c r="C422" s="195">
        <v>6173.8139531250008</v>
      </c>
      <c r="D422" s="195">
        <v>6173.8139531250008</v>
      </c>
      <c r="E422" s="195">
        <v>6173.8139531250008</v>
      </c>
      <c r="F422" s="195">
        <v>6173.8139531250008</v>
      </c>
      <c r="G422" s="195">
        <v>6173.8139531250008</v>
      </c>
      <c r="H422" s="195">
        <v>6173.8139531250008</v>
      </c>
      <c r="I422" s="195">
        <v>6173.8139531250008</v>
      </c>
      <c r="J422" s="195">
        <v>6173.8139531250008</v>
      </c>
    </row>
    <row r="424" spans="1:10" ht="15.65" customHeight="1" thickBot="1" x14ac:dyDescent="0.3">
      <c r="A424" s="215" t="s">
        <v>405</v>
      </c>
      <c r="B424" s="215"/>
      <c r="C424" s="215"/>
      <c r="D424" s="215"/>
      <c r="E424" s="215"/>
      <c r="F424" s="215"/>
      <c r="G424" s="215"/>
      <c r="H424" s="215"/>
      <c r="I424" s="215"/>
    </row>
    <row r="425" spans="1:10" ht="13" outlineLevel="1" thickBot="1" x14ac:dyDescent="0.3">
      <c r="B425" s="212" t="s">
        <v>299</v>
      </c>
      <c r="C425" s="235" t="s">
        <v>70</v>
      </c>
      <c r="D425" s="235" t="s">
        <v>71</v>
      </c>
      <c r="E425" s="235" t="s">
        <v>72</v>
      </c>
      <c r="F425" s="235" t="s">
        <v>73</v>
      </c>
      <c r="G425" s="235" t="s">
        <v>74</v>
      </c>
      <c r="H425" s="235" t="s">
        <v>75</v>
      </c>
      <c r="I425" s="235" t="s">
        <v>76</v>
      </c>
      <c r="J425" s="235" t="s">
        <v>272</v>
      </c>
    </row>
    <row r="426" spans="1:10" ht="13" outlineLevel="1" thickBot="1" x14ac:dyDescent="0.3">
      <c r="B426" s="210" t="s">
        <v>366</v>
      </c>
      <c r="C426" s="195">
        <v>3704.2883718750004</v>
      </c>
      <c r="D426" s="195">
        <v>3704.2883718750004</v>
      </c>
      <c r="E426" s="195">
        <v>3704.2883718750004</v>
      </c>
      <c r="F426" s="195">
        <v>3704.2883718750004</v>
      </c>
      <c r="G426" s="195">
        <v>3704.2883718750004</v>
      </c>
      <c r="H426" s="195">
        <v>3704.2883718750004</v>
      </c>
      <c r="I426" s="195">
        <v>3704.2883718750004</v>
      </c>
      <c r="J426" s="195">
        <v>3704.2883718750004</v>
      </c>
    </row>
    <row r="427" spans="1:10" ht="13" outlineLevel="1" thickBot="1" x14ac:dyDescent="0.3">
      <c r="B427" s="210" t="s">
        <v>364</v>
      </c>
      <c r="C427" s="195">
        <v>49390.511625000006</v>
      </c>
      <c r="D427" s="195">
        <v>49390.511625000006</v>
      </c>
      <c r="E427" s="195">
        <v>49390.511625000006</v>
      </c>
      <c r="F427" s="195">
        <v>49390.511625000006</v>
      </c>
      <c r="G427" s="195">
        <v>49390.511625000006</v>
      </c>
      <c r="H427" s="195">
        <v>49390.511625000006</v>
      </c>
      <c r="I427" s="195">
        <v>49390.511625000006</v>
      </c>
      <c r="J427" s="195">
        <v>49390.511625000006</v>
      </c>
    </row>
    <row r="429" spans="1:10" ht="15.65" customHeight="1" thickBot="1" x14ac:dyDescent="0.3">
      <c r="A429" s="215" t="s">
        <v>408</v>
      </c>
      <c r="C429" s="215"/>
      <c r="D429" s="215"/>
      <c r="E429" s="215"/>
      <c r="F429" s="215"/>
      <c r="G429" s="215"/>
      <c r="H429" s="215"/>
      <c r="I429" s="215"/>
      <c r="J429" s="215"/>
    </row>
    <row r="430" spans="1:10" ht="13" outlineLevel="1" thickBot="1" x14ac:dyDescent="0.3">
      <c r="B430" s="212" t="s">
        <v>299</v>
      </c>
      <c r="C430" s="235" t="s">
        <v>70</v>
      </c>
      <c r="D430" s="235" t="s">
        <v>71</v>
      </c>
      <c r="E430" s="235" t="s">
        <v>72</v>
      </c>
      <c r="F430" s="235" t="s">
        <v>73</v>
      </c>
      <c r="G430" s="235" t="s">
        <v>74</v>
      </c>
      <c r="H430" s="235" t="s">
        <v>75</v>
      </c>
      <c r="I430" s="235" t="s">
        <v>76</v>
      </c>
      <c r="J430" s="235" t="s">
        <v>272</v>
      </c>
    </row>
    <row r="431" spans="1:10" ht="13" outlineLevel="1" thickBot="1" x14ac:dyDescent="0.3">
      <c r="B431" s="210" t="s">
        <v>406</v>
      </c>
      <c r="C431" s="195">
        <v>61.436977875000004</v>
      </c>
      <c r="D431" s="195">
        <v>61.436977875000004</v>
      </c>
      <c r="E431" s="195">
        <v>61.436977875000004</v>
      </c>
      <c r="F431" s="195">
        <v>61.436977875000004</v>
      </c>
      <c r="G431" s="195">
        <v>61.436977875000004</v>
      </c>
      <c r="H431" s="195">
        <v>61.436977875000004</v>
      </c>
      <c r="I431" s="195">
        <v>61.436977875000004</v>
      </c>
      <c r="J431" s="195">
        <v>61.436977875000004</v>
      </c>
    </row>
    <row r="432" spans="1:10" ht="13" outlineLevel="1" thickBot="1" x14ac:dyDescent="0.3">
      <c r="B432" s="210" t="s">
        <v>407</v>
      </c>
      <c r="C432" s="195">
        <v>246.95255812500002</v>
      </c>
      <c r="D432" s="195">
        <v>246.95255812500002</v>
      </c>
      <c r="E432" s="195">
        <v>246.95255812500002</v>
      </c>
      <c r="F432" s="195">
        <v>246.95255812500002</v>
      </c>
      <c r="G432" s="195">
        <v>246.95255812500002</v>
      </c>
      <c r="H432" s="195">
        <v>246.95255812500002</v>
      </c>
      <c r="I432" s="195">
        <v>246.95255812500002</v>
      </c>
      <c r="J432" s="195">
        <v>246.95255812500002</v>
      </c>
    </row>
    <row r="434" spans="1:7" ht="15.5" thickBot="1" x14ac:dyDescent="0.3">
      <c r="A434" s="215" t="s">
        <v>409</v>
      </c>
      <c r="C434" s="234"/>
      <c r="D434" s="234"/>
      <c r="E434" s="234"/>
      <c r="F434" s="234"/>
      <c r="G434" s="234"/>
    </row>
    <row r="435" spans="1:7" ht="13" outlineLevel="1" thickBot="1" x14ac:dyDescent="0.3">
      <c r="B435" s="278" t="s">
        <v>299</v>
      </c>
      <c r="C435" s="284" t="s">
        <v>97</v>
      </c>
      <c r="D435" s="284" t="s">
        <v>98</v>
      </c>
      <c r="E435" s="284" t="s">
        <v>99</v>
      </c>
      <c r="F435" s="284" t="s">
        <v>100</v>
      </c>
      <c r="G435" s="284" t="s">
        <v>278</v>
      </c>
    </row>
    <row r="436" spans="1:7" ht="13" outlineLevel="1" thickBot="1" x14ac:dyDescent="0.3">
      <c r="B436" s="210" t="s">
        <v>207</v>
      </c>
      <c r="C436" s="193" t="s">
        <v>410</v>
      </c>
      <c r="D436" s="193" t="s">
        <v>411</v>
      </c>
      <c r="E436" s="193" t="s">
        <v>412</v>
      </c>
      <c r="F436" s="193" t="s">
        <v>413</v>
      </c>
      <c r="G436" s="193" t="s">
        <v>414</v>
      </c>
    </row>
    <row r="437" spans="1:7" ht="25.5" outlineLevel="1" thickBot="1" x14ac:dyDescent="0.3">
      <c r="B437" s="210" t="s">
        <v>208</v>
      </c>
      <c r="C437" s="193" t="s">
        <v>415</v>
      </c>
      <c r="D437" s="193" t="s">
        <v>416</v>
      </c>
      <c r="E437" s="193" t="s">
        <v>417</v>
      </c>
      <c r="F437" s="193" t="s">
        <v>418</v>
      </c>
      <c r="G437" s="193" t="s">
        <v>419</v>
      </c>
    </row>
    <row r="438" spans="1:7" ht="13" outlineLevel="1" thickBot="1" x14ac:dyDescent="0.3">
      <c r="B438" s="210" t="s">
        <v>209</v>
      </c>
      <c r="C438" s="230" t="s">
        <v>420</v>
      </c>
      <c r="D438" s="230" t="s">
        <v>420</v>
      </c>
      <c r="E438" s="230" t="s">
        <v>420</v>
      </c>
      <c r="F438" s="230" t="s">
        <v>420</v>
      </c>
      <c r="G438" s="230" t="s">
        <v>420</v>
      </c>
    </row>
    <row r="439" spans="1:7" ht="13" outlineLevel="1" thickBot="1" x14ac:dyDescent="0.3">
      <c r="B439" s="218" t="s">
        <v>210</v>
      </c>
      <c r="C439" s="240">
        <v>37.529375625000007</v>
      </c>
      <c r="D439" s="240">
        <v>137.60771062500004</v>
      </c>
      <c r="E439" s="240">
        <v>187.64687812500003</v>
      </c>
      <c r="F439" s="240">
        <v>231.43114968750004</v>
      </c>
      <c r="G439" s="240">
        <v>289.28893710937507</v>
      </c>
    </row>
    <row r="440" spans="1:7" ht="13" outlineLevel="1" thickBot="1" x14ac:dyDescent="0.3">
      <c r="B440" s="218" t="s">
        <v>421</v>
      </c>
      <c r="C440" s="240">
        <v>3.7529375625000005</v>
      </c>
      <c r="D440" s="240">
        <v>13.760771062500003</v>
      </c>
      <c r="E440" s="240">
        <v>18.764687812500004</v>
      </c>
      <c r="F440" s="240">
        <v>23.143114968750005</v>
      </c>
      <c r="G440" s="240">
        <v>28.928893710937508</v>
      </c>
    </row>
    <row r="441" spans="1:7" ht="13" outlineLevel="1" thickBot="1" x14ac:dyDescent="0.3">
      <c r="B441" s="218" t="s">
        <v>211</v>
      </c>
      <c r="C441" s="240">
        <v>20.641156593750004</v>
      </c>
      <c r="D441" s="240">
        <v>61.673273943750011</v>
      </c>
      <c r="E441" s="240">
        <v>82.314430537500016</v>
      </c>
      <c r="F441" s="240">
        <v>98.70225789375003</v>
      </c>
      <c r="G441" s="240">
        <v>123.32027732456254</v>
      </c>
    </row>
    <row r="442" spans="1:7" ht="13" outlineLevel="1" thickBot="1" x14ac:dyDescent="0.3">
      <c r="B442" s="218" t="s">
        <v>422</v>
      </c>
      <c r="C442" s="240">
        <v>13.385477306250001</v>
      </c>
      <c r="D442" s="240">
        <v>19.640373243750002</v>
      </c>
      <c r="E442" s="240">
        <v>28.522325475000006</v>
      </c>
      <c r="F442" s="240">
        <v>28.522325475000006</v>
      </c>
      <c r="G442" s="240">
        <v>38.154865218750011</v>
      </c>
    </row>
    <row r="443" spans="1:7" ht="13" outlineLevel="1" thickBot="1" x14ac:dyDescent="0.3">
      <c r="B443" s="218" t="s">
        <v>213</v>
      </c>
      <c r="C443" s="240">
        <v>3.3776438062500009</v>
      </c>
      <c r="D443" s="240">
        <v>4.5035250750000007</v>
      </c>
      <c r="E443" s="240">
        <v>4.6286229937500014</v>
      </c>
      <c r="F443" s="240">
        <v>4.8788188312500012</v>
      </c>
      <c r="G443" s="240">
        <v>5.1290146687500009</v>
      </c>
    </row>
    <row r="444" spans="1:7" ht="13" outlineLevel="1" thickBot="1" x14ac:dyDescent="0.3">
      <c r="B444" s="218" t="s">
        <v>212</v>
      </c>
      <c r="C444" s="240">
        <v>5.003916750000001</v>
      </c>
      <c r="D444" s="240">
        <v>12.509791875000003</v>
      </c>
      <c r="E444" s="240">
        <v>15.011750250000002</v>
      </c>
      <c r="F444" s="240">
        <v>18.764687812500004</v>
      </c>
      <c r="G444" s="240">
        <v>20.265862837500002</v>
      </c>
    </row>
    <row r="446" spans="1:7" ht="15.5" thickBot="1" x14ac:dyDescent="0.3">
      <c r="A446" s="215" t="s">
        <v>423</v>
      </c>
      <c r="B446" s="215"/>
      <c r="C446" s="215"/>
      <c r="D446" s="215"/>
      <c r="E446" s="215"/>
      <c r="F446" s="215"/>
    </row>
    <row r="447" spans="1:7" ht="13" outlineLevel="1" thickBot="1" x14ac:dyDescent="0.3">
      <c r="B447" s="278" t="s">
        <v>299</v>
      </c>
      <c r="C447" s="280" t="s">
        <v>97</v>
      </c>
      <c r="D447" s="280" t="s">
        <v>98</v>
      </c>
      <c r="E447" s="280" t="s">
        <v>99</v>
      </c>
      <c r="F447" s="280" t="s">
        <v>100</v>
      </c>
      <c r="G447" s="280" t="s">
        <v>278</v>
      </c>
    </row>
    <row r="448" spans="1:7" ht="13" outlineLevel="1" thickBot="1" x14ac:dyDescent="0.3">
      <c r="B448" s="210" t="s">
        <v>207</v>
      </c>
      <c r="C448" s="193" t="s">
        <v>410</v>
      </c>
      <c r="D448" s="193" t="s">
        <v>411</v>
      </c>
      <c r="E448" s="193" t="s">
        <v>412</v>
      </c>
      <c r="F448" s="193" t="s">
        <v>413</v>
      </c>
      <c r="G448" s="193" t="s">
        <v>414</v>
      </c>
    </row>
    <row r="449" spans="1:10" ht="13" outlineLevel="1" thickBot="1" x14ac:dyDescent="0.3">
      <c r="B449" s="210" t="s">
        <v>209</v>
      </c>
      <c r="C449" s="193" t="s">
        <v>420</v>
      </c>
      <c r="D449" s="193" t="s">
        <v>420</v>
      </c>
      <c r="E449" s="193" t="s">
        <v>420</v>
      </c>
      <c r="F449" s="193" t="s">
        <v>420</v>
      </c>
      <c r="G449" s="193" t="s">
        <v>420</v>
      </c>
    </row>
    <row r="450" spans="1:10" ht="13" outlineLevel="1" thickBot="1" x14ac:dyDescent="0.3">
      <c r="B450" s="210" t="s">
        <v>210</v>
      </c>
      <c r="C450" s="240">
        <v>90.07050150000002</v>
      </c>
      <c r="D450" s="240">
        <v>287.72521312500004</v>
      </c>
      <c r="E450" s="240">
        <v>387.80354812500008</v>
      </c>
      <c r="F450" s="240">
        <v>475.3720912500001</v>
      </c>
      <c r="G450" s="240">
        <v>578.57787421875014</v>
      </c>
    </row>
    <row r="451" spans="1:10" ht="13" outlineLevel="1" thickBot="1" x14ac:dyDescent="0.3">
      <c r="B451" s="210" t="s">
        <v>422</v>
      </c>
      <c r="C451" s="240">
        <v>13.385477306250001</v>
      </c>
      <c r="D451" s="240">
        <v>19.640373243750002</v>
      </c>
      <c r="E451" s="240">
        <v>28.522325475000006</v>
      </c>
      <c r="F451" s="240">
        <v>28.522325475000006</v>
      </c>
      <c r="G451" s="240">
        <v>38.154865218750011</v>
      </c>
    </row>
    <row r="452" spans="1:10" ht="13" outlineLevel="1" thickBot="1" x14ac:dyDescent="0.3">
      <c r="B452" s="210" t="s">
        <v>213</v>
      </c>
      <c r="C452" s="240">
        <v>3.3776438062500009</v>
      </c>
      <c r="D452" s="240">
        <v>4.5035250750000007</v>
      </c>
      <c r="E452" s="240">
        <v>4.6286229937500014</v>
      </c>
      <c r="F452" s="240">
        <v>4.8788188312500012</v>
      </c>
      <c r="G452" s="240">
        <v>5.1290146687500009</v>
      </c>
    </row>
    <row r="453" spans="1:10" ht="13" outlineLevel="1" thickBot="1" x14ac:dyDescent="0.3">
      <c r="B453" s="210" t="s">
        <v>212</v>
      </c>
      <c r="C453" s="240">
        <v>5.003916750000001</v>
      </c>
      <c r="D453" s="240">
        <v>12.509791875000003</v>
      </c>
      <c r="E453" s="240">
        <v>15.011750250000002</v>
      </c>
      <c r="F453" s="240">
        <v>18.764687812500004</v>
      </c>
      <c r="G453" s="240">
        <v>20.265862837500002</v>
      </c>
    </row>
    <row r="455" spans="1:10" ht="15.5" thickBot="1" x14ac:dyDescent="0.3">
      <c r="A455" s="215" t="s">
        <v>424</v>
      </c>
      <c r="C455" s="215"/>
      <c r="D455" s="215"/>
      <c r="E455" s="215"/>
      <c r="F455" s="215"/>
      <c r="G455" s="215"/>
      <c r="H455" s="215"/>
      <c r="I455" s="215"/>
      <c r="J455" s="215"/>
    </row>
    <row r="456" spans="1:10" ht="13.75" customHeight="1" outlineLevel="1" thickBot="1" x14ac:dyDescent="0.3">
      <c r="B456" s="245" t="s">
        <v>425</v>
      </c>
      <c r="C456" s="246"/>
      <c r="D456" s="246"/>
      <c r="E456" s="246"/>
      <c r="F456" s="246"/>
      <c r="G456" s="246"/>
      <c r="H456" s="246"/>
      <c r="I456" s="246"/>
      <c r="J456" s="247"/>
    </row>
    <row r="457" spans="1:10" ht="13.75" customHeight="1" outlineLevel="1" thickBot="1" x14ac:dyDescent="0.3">
      <c r="B457" s="248" t="s">
        <v>299</v>
      </c>
      <c r="C457" s="251" t="s">
        <v>70</v>
      </c>
      <c r="D457" s="252" t="s">
        <v>71</v>
      </c>
      <c r="E457" s="253" t="s">
        <v>72</v>
      </c>
      <c r="F457" s="252" t="s">
        <v>73</v>
      </c>
      <c r="G457" s="252" t="s">
        <v>74</v>
      </c>
      <c r="H457" s="253" t="s">
        <v>75</v>
      </c>
      <c r="I457" s="252" t="s">
        <v>76</v>
      </c>
      <c r="J457" s="253" t="s">
        <v>272</v>
      </c>
    </row>
    <row r="458" spans="1:10" ht="13.75" customHeight="1" outlineLevel="1" thickBot="1" x14ac:dyDescent="0.3">
      <c r="B458" s="244" t="s">
        <v>426</v>
      </c>
      <c r="C458" s="243">
        <v>80</v>
      </c>
      <c r="D458" s="242">
        <v>90</v>
      </c>
      <c r="E458" s="254">
        <v>95</v>
      </c>
      <c r="F458" s="242">
        <v>100</v>
      </c>
      <c r="G458" s="242">
        <v>125</v>
      </c>
      <c r="H458" s="254">
        <v>175</v>
      </c>
      <c r="I458" s="242">
        <v>200</v>
      </c>
      <c r="J458" s="254">
        <v>225</v>
      </c>
    </row>
    <row r="459" spans="1:10" ht="13.75" customHeight="1" outlineLevel="1" thickBot="1" x14ac:dyDescent="0.3">
      <c r="F459" s="196"/>
      <c r="G459" s="196"/>
      <c r="H459" s="249"/>
      <c r="I459" s="249"/>
      <c r="J459" s="249"/>
    </row>
    <row r="460" spans="1:10" ht="13.75" customHeight="1" outlineLevel="1" thickBot="1" x14ac:dyDescent="0.3">
      <c r="B460" s="245" t="s">
        <v>427</v>
      </c>
      <c r="C460" s="246"/>
      <c r="D460" s="246"/>
      <c r="E460" s="246"/>
      <c r="F460" s="246"/>
      <c r="G460" s="247"/>
    </row>
    <row r="461" spans="1:10" ht="13.75" customHeight="1" outlineLevel="1" thickBot="1" x14ac:dyDescent="0.3">
      <c r="B461" s="281" t="s">
        <v>299</v>
      </c>
      <c r="C461" s="282" t="s">
        <v>97</v>
      </c>
      <c r="D461" s="282" t="s">
        <v>98</v>
      </c>
      <c r="E461" s="282" t="s">
        <v>99</v>
      </c>
      <c r="F461" s="282" t="s">
        <v>100</v>
      </c>
      <c r="G461" s="283" t="s">
        <v>278</v>
      </c>
    </row>
    <row r="462" spans="1:10" ht="13.75" customHeight="1" outlineLevel="1" thickBot="1" x14ac:dyDescent="0.3">
      <c r="B462" s="244" t="s">
        <v>426</v>
      </c>
      <c r="C462" s="242">
        <v>130</v>
      </c>
      <c r="D462" s="242">
        <v>180</v>
      </c>
      <c r="E462" s="242">
        <v>200</v>
      </c>
      <c r="F462" s="242">
        <v>215</v>
      </c>
      <c r="G462" s="255">
        <v>225</v>
      </c>
    </row>
    <row r="464" spans="1:10" ht="15" customHeight="1" thickBot="1" x14ac:dyDescent="0.3">
      <c r="A464" s="215" t="s">
        <v>442</v>
      </c>
      <c r="C464" s="226"/>
      <c r="D464" s="226"/>
      <c r="E464" s="226"/>
      <c r="F464" s="226"/>
      <c r="G464" s="226"/>
      <c r="H464" s="226"/>
      <c r="I464" s="226"/>
      <c r="J464" s="226"/>
    </row>
    <row r="465" spans="1:10" ht="13" outlineLevel="1" thickBot="1" x14ac:dyDescent="0.3">
      <c r="B465" s="212" t="s">
        <v>299</v>
      </c>
      <c r="C465" s="235" t="s">
        <v>70</v>
      </c>
      <c r="D465" s="235" t="s">
        <v>71</v>
      </c>
      <c r="E465" s="235" t="s">
        <v>72</v>
      </c>
      <c r="F465" s="235" t="s">
        <v>73</v>
      </c>
      <c r="G465" s="235" t="s">
        <v>74</v>
      </c>
      <c r="H465" s="235" t="s">
        <v>75</v>
      </c>
      <c r="I465" s="235" t="s">
        <v>76</v>
      </c>
      <c r="J465" s="235" t="s">
        <v>272</v>
      </c>
    </row>
    <row r="466" spans="1:10" ht="13" outlineLevel="1" thickBot="1" x14ac:dyDescent="0.3">
      <c r="B466" s="210" t="s">
        <v>428</v>
      </c>
      <c r="C466" s="193" t="s">
        <v>429</v>
      </c>
      <c r="D466" s="193" t="s">
        <v>430</v>
      </c>
      <c r="E466" s="193" t="s">
        <v>431</v>
      </c>
      <c r="F466" s="193" t="s">
        <v>432</v>
      </c>
      <c r="G466" s="250">
        <v>45419</v>
      </c>
      <c r="H466" s="193" t="s">
        <v>433</v>
      </c>
      <c r="I466" s="193" t="s">
        <v>434</v>
      </c>
      <c r="J466" s="193" t="s">
        <v>435</v>
      </c>
    </row>
    <row r="467" spans="1:10" ht="13" outlineLevel="1" thickBot="1" x14ac:dyDescent="0.3">
      <c r="B467" s="210" t="s">
        <v>304</v>
      </c>
      <c r="C467" s="250">
        <v>45292</v>
      </c>
      <c r="D467" s="250">
        <v>45292</v>
      </c>
      <c r="E467" s="250">
        <v>45292</v>
      </c>
      <c r="F467" s="250">
        <v>45292</v>
      </c>
      <c r="G467" s="250">
        <v>45292</v>
      </c>
      <c r="H467" s="250">
        <v>45292</v>
      </c>
      <c r="I467" s="193" t="s">
        <v>436</v>
      </c>
      <c r="J467" s="193" t="s">
        <v>437</v>
      </c>
    </row>
    <row r="468" spans="1:10" ht="25.5" outlineLevel="1" thickBot="1" x14ac:dyDescent="0.3">
      <c r="B468" s="210" t="s">
        <v>438</v>
      </c>
      <c r="C468" s="193" t="s">
        <v>439</v>
      </c>
      <c r="D468" s="193" t="s">
        <v>439</v>
      </c>
      <c r="E468" s="193" t="s">
        <v>439</v>
      </c>
      <c r="F468" s="193" t="s">
        <v>439</v>
      </c>
      <c r="G468" s="193" t="s">
        <v>439</v>
      </c>
      <c r="H468" s="193" t="s">
        <v>439</v>
      </c>
      <c r="I468" s="193" t="s">
        <v>437</v>
      </c>
      <c r="J468" s="193" t="s">
        <v>440</v>
      </c>
    </row>
    <row r="469" spans="1:10" ht="13" outlineLevel="1" thickBot="1" x14ac:dyDescent="0.3">
      <c r="B469" s="210" t="s">
        <v>441</v>
      </c>
      <c r="C469" s="193" t="s">
        <v>439</v>
      </c>
      <c r="D469" s="193" t="s">
        <v>439</v>
      </c>
      <c r="E469" s="193" t="s">
        <v>439</v>
      </c>
      <c r="F469" s="193" t="s">
        <v>439</v>
      </c>
      <c r="G469" s="193" t="s">
        <v>439</v>
      </c>
      <c r="H469" s="193" t="s">
        <v>439</v>
      </c>
      <c r="I469" s="193" t="s">
        <v>437</v>
      </c>
      <c r="J469" s="193" t="s">
        <v>440</v>
      </c>
    </row>
    <row r="471" spans="1:10" ht="15" customHeight="1" thickBot="1" x14ac:dyDescent="0.3">
      <c r="A471" s="215" t="s">
        <v>450</v>
      </c>
      <c r="C471" s="215"/>
      <c r="D471" s="215"/>
      <c r="E471" s="215"/>
      <c r="F471" s="215"/>
      <c r="G471" s="215"/>
      <c r="H471" s="215"/>
      <c r="I471" s="215"/>
      <c r="J471" s="215"/>
    </row>
    <row r="472" spans="1:10" ht="13" outlineLevel="1" thickBot="1" x14ac:dyDescent="0.3">
      <c r="B472" s="212" t="s">
        <v>299</v>
      </c>
      <c r="C472" s="235" t="s">
        <v>70</v>
      </c>
      <c r="D472" s="235" t="s">
        <v>71</v>
      </c>
      <c r="E472" s="235" t="s">
        <v>72</v>
      </c>
      <c r="F472" s="235" t="s">
        <v>73</v>
      </c>
      <c r="G472" s="235" t="s">
        <v>74</v>
      </c>
      <c r="H472" s="235" t="s">
        <v>75</v>
      </c>
      <c r="I472" s="235" t="s">
        <v>76</v>
      </c>
      <c r="J472" s="235" t="s">
        <v>272</v>
      </c>
    </row>
    <row r="473" spans="1:10" ht="13" outlineLevel="1" thickBot="1" x14ac:dyDescent="0.3">
      <c r="B473" s="210" t="s">
        <v>428</v>
      </c>
      <c r="C473" s="193" t="s">
        <v>443</v>
      </c>
      <c r="D473" s="193" t="s">
        <v>444</v>
      </c>
      <c r="E473" s="193" t="s">
        <v>445</v>
      </c>
      <c r="F473" s="193" t="s">
        <v>446</v>
      </c>
      <c r="G473" s="193" t="s">
        <v>447</v>
      </c>
      <c r="H473" s="193" t="s">
        <v>119</v>
      </c>
      <c r="I473" s="193" t="s">
        <v>119</v>
      </c>
      <c r="J473" s="193" t="s">
        <v>119</v>
      </c>
    </row>
    <row r="474" spans="1:10" ht="13" outlineLevel="1" thickBot="1" x14ac:dyDescent="0.3">
      <c r="B474" s="210" t="s">
        <v>304</v>
      </c>
      <c r="C474" s="250">
        <v>45292</v>
      </c>
      <c r="D474" s="250">
        <v>45292</v>
      </c>
      <c r="E474" s="193" t="s">
        <v>436</v>
      </c>
      <c r="F474" s="193" t="s">
        <v>436</v>
      </c>
      <c r="G474" s="193" t="s">
        <v>436</v>
      </c>
      <c r="H474" s="193" t="s">
        <v>119</v>
      </c>
      <c r="I474" s="193" t="s">
        <v>119</v>
      </c>
      <c r="J474" s="193" t="s">
        <v>119</v>
      </c>
    </row>
    <row r="475" spans="1:10" ht="13" outlineLevel="1" thickBot="1" x14ac:dyDescent="0.3">
      <c r="B475" s="210" t="s">
        <v>441</v>
      </c>
      <c r="C475" s="193" t="s">
        <v>448</v>
      </c>
      <c r="D475" s="193" t="s">
        <v>448</v>
      </c>
      <c r="E475" s="193" t="s">
        <v>449</v>
      </c>
      <c r="F475" s="193" t="s">
        <v>449</v>
      </c>
      <c r="G475" s="193" t="s">
        <v>449</v>
      </c>
      <c r="H475" s="193" t="s">
        <v>119</v>
      </c>
      <c r="I475" s="193" t="s">
        <v>119</v>
      </c>
      <c r="J475" s="193" t="s">
        <v>119</v>
      </c>
    </row>
    <row r="477" spans="1:10" ht="15" customHeight="1" thickBot="1" x14ac:dyDescent="0.3">
      <c r="A477" s="215" t="s">
        <v>453</v>
      </c>
      <c r="C477" s="215"/>
      <c r="D477" s="215"/>
      <c r="E477" s="215"/>
      <c r="F477" s="215"/>
      <c r="G477" s="215"/>
    </row>
    <row r="478" spans="1:10" ht="13" outlineLevel="1" thickBot="1" x14ac:dyDescent="0.3">
      <c r="B478" s="278" t="s">
        <v>299</v>
      </c>
      <c r="C478" s="280" t="s">
        <v>97</v>
      </c>
      <c r="D478" s="280" t="s">
        <v>98</v>
      </c>
      <c r="E478" s="280" t="s">
        <v>99</v>
      </c>
      <c r="F478" s="280" t="s">
        <v>100</v>
      </c>
      <c r="G478" s="280" t="s">
        <v>278</v>
      </c>
    </row>
    <row r="479" spans="1:10" ht="13" outlineLevel="1" thickBot="1" x14ac:dyDescent="0.3">
      <c r="B479" s="210" t="s">
        <v>428</v>
      </c>
      <c r="C479" s="193">
        <v>4.5</v>
      </c>
      <c r="D479" s="193">
        <v>4</v>
      </c>
      <c r="E479" s="193">
        <v>3.5</v>
      </c>
      <c r="F479" s="193">
        <v>3</v>
      </c>
      <c r="G479" s="193">
        <v>3.5</v>
      </c>
    </row>
    <row r="480" spans="1:10" ht="13" outlineLevel="1" thickBot="1" x14ac:dyDescent="0.3">
      <c r="B480" s="210" t="s">
        <v>304</v>
      </c>
      <c r="C480" s="193">
        <v>0.5</v>
      </c>
      <c r="D480" s="193">
        <v>0.5</v>
      </c>
      <c r="E480" s="193">
        <v>0.5</v>
      </c>
      <c r="F480" s="193">
        <v>0.5</v>
      </c>
      <c r="G480" s="193">
        <v>0.25</v>
      </c>
    </row>
    <row r="481" spans="1:10" ht="13" outlineLevel="1" thickBot="1" x14ac:dyDescent="0.3">
      <c r="B481" s="210" t="s">
        <v>451</v>
      </c>
      <c r="C481" s="193">
        <v>0.25</v>
      </c>
      <c r="D481" s="193">
        <v>0.25</v>
      </c>
      <c r="E481" s="193">
        <v>0.25</v>
      </c>
      <c r="F481" s="193">
        <v>0.25</v>
      </c>
      <c r="G481" s="193">
        <v>0.125</v>
      </c>
    </row>
    <row r="482" spans="1:10" ht="13" outlineLevel="1" thickBot="1" x14ac:dyDescent="0.3">
      <c r="B482" s="210" t="s">
        <v>452</v>
      </c>
      <c r="C482" s="193">
        <v>0.25</v>
      </c>
      <c r="D482" s="193">
        <v>0.25</v>
      </c>
      <c r="E482" s="193">
        <v>0.25</v>
      </c>
      <c r="F482" s="193">
        <v>0.25</v>
      </c>
      <c r="G482" s="193">
        <v>0.125</v>
      </c>
    </row>
    <row r="484" spans="1:10" ht="15.5" thickBot="1" x14ac:dyDescent="0.3">
      <c r="A484" s="215" t="s">
        <v>454</v>
      </c>
      <c r="B484" s="215"/>
      <c r="C484" s="215"/>
      <c r="D484" s="215"/>
      <c r="E484" s="215"/>
      <c r="F484" s="215"/>
      <c r="G484" s="215"/>
      <c r="H484" s="215"/>
      <c r="I484" s="215"/>
    </row>
    <row r="485" spans="1:10" ht="13" outlineLevel="1" thickBot="1" x14ac:dyDescent="0.3">
      <c r="B485" s="212" t="s">
        <v>299</v>
      </c>
      <c r="C485" s="235" t="s">
        <v>70</v>
      </c>
      <c r="D485" s="235" t="s">
        <v>71</v>
      </c>
      <c r="E485" s="235" t="s">
        <v>72</v>
      </c>
      <c r="F485" s="235" t="s">
        <v>73</v>
      </c>
      <c r="G485" s="235" t="s">
        <v>74</v>
      </c>
      <c r="H485" s="235" t="s">
        <v>75</v>
      </c>
      <c r="I485" s="235" t="s">
        <v>76</v>
      </c>
      <c r="J485" s="235" t="s">
        <v>272</v>
      </c>
    </row>
    <row r="486" spans="1:10" ht="13" outlineLevel="1" thickBot="1" x14ac:dyDescent="0.3">
      <c r="B486" s="210" t="s">
        <v>455</v>
      </c>
      <c r="C486" s="193" t="s">
        <v>456</v>
      </c>
      <c r="D486" s="193" t="s">
        <v>457</v>
      </c>
      <c r="E486" s="193" t="s">
        <v>457</v>
      </c>
      <c r="F486" s="193" t="s">
        <v>457</v>
      </c>
      <c r="G486" s="193" t="s">
        <v>457</v>
      </c>
      <c r="H486" s="193" t="s">
        <v>457</v>
      </c>
      <c r="I486" s="193" t="s">
        <v>458</v>
      </c>
      <c r="J486" s="193" t="s">
        <v>457</v>
      </c>
    </row>
    <row r="487" spans="1:10" ht="13" outlineLevel="1" thickBot="1" x14ac:dyDescent="0.3">
      <c r="B487" s="210" t="s">
        <v>459</v>
      </c>
      <c r="C487" s="193" t="s">
        <v>152</v>
      </c>
      <c r="D487" s="193" t="s">
        <v>152</v>
      </c>
      <c r="E487" s="193" t="s">
        <v>152</v>
      </c>
      <c r="F487" s="193" t="s">
        <v>152</v>
      </c>
      <c r="G487" s="193" t="s">
        <v>152</v>
      </c>
      <c r="H487" s="193" t="s">
        <v>152</v>
      </c>
      <c r="I487" s="193" t="s">
        <v>151</v>
      </c>
      <c r="J487" s="193" t="s">
        <v>151</v>
      </c>
    </row>
    <row r="488" spans="1:10" ht="13" outlineLevel="1" thickBot="1" x14ac:dyDescent="0.3">
      <c r="B488" s="210" t="s">
        <v>460</v>
      </c>
      <c r="C488" s="193">
        <v>1</v>
      </c>
      <c r="D488" s="193">
        <v>1</v>
      </c>
      <c r="E488" s="193">
        <v>1</v>
      </c>
      <c r="F488" s="193">
        <v>1</v>
      </c>
      <c r="G488" s="193">
        <v>1</v>
      </c>
      <c r="H488" s="193">
        <v>2</v>
      </c>
      <c r="I488" s="193">
        <v>3</v>
      </c>
      <c r="J488" s="193">
        <v>6</v>
      </c>
    </row>
    <row r="489" spans="1:10" ht="13" outlineLevel="1" thickBot="1" x14ac:dyDescent="0.3">
      <c r="B489" s="210" t="s">
        <v>461</v>
      </c>
      <c r="C489" s="194">
        <v>1175</v>
      </c>
      <c r="D489" s="194">
        <v>1650</v>
      </c>
      <c r="E489" s="194">
        <v>1650</v>
      </c>
      <c r="F489" s="194">
        <v>1650</v>
      </c>
      <c r="G489" s="194">
        <v>1650</v>
      </c>
      <c r="H489" s="194">
        <v>3000</v>
      </c>
      <c r="I489" s="194">
        <v>3000</v>
      </c>
      <c r="J489" s="194">
        <v>5000</v>
      </c>
    </row>
    <row r="490" spans="1:10" ht="13" outlineLevel="1" thickBot="1" x14ac:dyDescent="0.3">
      <c r="B490" s="210" t="s">
        <v>462</v>
      </c>
      <c r="C490" s="193">
        <v>140</v>
      </c>
      <c r="D490" s="193">
        <v>329</v>
      </c>
      <c r="E490" s="193">
        <v>394</v>
      </c>
      <c r="F490" s="193">
        <v>460</v>
      </c>
      <c r="G490" s="193">
        <v>657</v>
      </c>
      <c r="H490" s="194">
        <v>1792</v>
      </c>
      <c r="I490" s="194">
        <v>2598</v>
      </c>
      <c r="J490" s="194">
        <v>6625</v>
      </c>
    </row>
    <row r="492" spans="1:10" ht="15.5" thickBot="1" x14ac:dyDescent="0.3">
      <c r="A492" s="215" t="s">
        <v>463</v>
      </c>
      <c r="B492" s="215"/>
      <c r="C492" s="215"/>
      <c r="D492" s="215"/>
      <c r="E492" s="215"/>
      <c r="F492" s="215"/>
    </row>
    <row r="493" spans="1:10" ht="13" outlineLevel="1" thickBot="1" x14ac:dyDescent="0.3">
      <c r="B493" s="278" t="s">
        <v>299</v>
      </c>
      <c r="C493" s="280" t="s">
        <v>97</v>
      </c>
      <c r="D493" s="280" t="s">
        <v>98</v>
      </c>
      <c r="E493" s="280" t="s">
        <v>99</v>
      </c>
      <c r="F493" s="280" t="s">
        <v>100</v>
      </c>
      <c r="G493" s="280" t="s">
        <v>278</v>
      </c>
    </row>
    <row r="494" spans="1:10" ht="13" outlineLevel="1" thickBot="1" x14ac:dyDescent="0.3">
      <c r="B494" s="210" t="s">
        <v>455</v>
      </c>
      <c r="C494" s="193" t="s">
        <v>464</v>
      </c>
      <c r="D494" s="193" t="s">
        <v>464</v>
      </c>
      <c r="E494" s="193" t="s">
        <v>464</v>
      </c>
      <c r="F494" s="193" t="s">
        <v>464</v>
      </c>
      <c r="G494" s="193" t="s">
        <v>457</v>
      </c>
    </row>
    <row r="495" spans="1:10" ht="13" outlineLevel="1" thickBot="1" x14ac:dyDescent="0.3">
      <c r="B495" s="210" t="s">
        <v>459</v>
      </c>
      <c r="C495" s="193" t="s">
        <v>151</v>
      </c>
      <c r="D495" s="193" t="s">
        <v>151</v>
      </c>
      <c r="E495" s="193" t="s">
        <v>151</v>
      </c>
      <c r="F495" s="193" t="s">
        <v>151</v>
      </c>
      <c r="G495" s="193" t="s">
        <v>151</v>
      </c>
    </row>
    <row r="496" spans="1:10" ht="13" outlineLevel="1" thickBot="1" x14ac:dyDescent="0.3">
      <c r="B496" s="210" t="s">
        <v>465</v>
      </c>
      <c r="C496" s="193">
        <v>1</v>
      </c>
      <c r="D496" s="193">
        <v>2</v>
      </c>
      <c r="E496" s="193">
        <v>2</v>
      </c>
      <c r="F496" s="193">
        <v>2</v>
      </c>
      <c r="G496" s="193">
        <v>6</v>
      </c>
    </row>
    <row r="497" spans="1:8" ht="13" outlineLevel="1" thickBot="1" x14ac:dyDescent="0.3">
      <c r="B497" s="210" t="s">
        <v>466</v>
      </c>
      <c r="C497" s="193" t="s">
        <v>410</v>
      </c>
      <c r="D497" s="193" t="s">
        <v>411</v>
      </c>
      <c r="E497" s="193" t="s">
        <v>412</v>
      </c>
      <c r="F497" s="193" t="s">
        <v>413</v>
      </c>
      <c r="G497" s="193" t="s">
        <v>467</v>
      </c>
    </row>
    <row r="499" spans="1:8" ht="15.5" thickBot="1" x14ac:dyDescent="0.3">
      <c r="A499" s="215" t="s">
        <v>468</v>
      </c>
      <c r="B499" s="215"/>
      <c r="C499" s="215"/>
      <c r="D499" s="215"/>
      <c r="E499" s="215"/>
      <c r="F499" s="215"/>
      <c r="G499" s="215"/>
    </row>
    <row r="500" spans="1:8" ht="13.4" customHeight="1" outlineLevel="1" x14ac:dyDescent="0.25">
      <c r="B500" s="303" t="s">
        <v>3</v>
      </c>
      <c r="C500" s="306" t="s">
        <v>469</v>
      </c>
      <c r="D500" s="307"/>
      <c r="E500" s="308"/>
      <c r="F500" s="306" t="s">
        <v>472</v>
      </c>
      <c r="G500" s="307"/>
      <c r="H500" s="308"/>
    </row>
    <row r="501" spans="1:8" ht="13.4" customHeight="1" outlineLevel="1" x14ac:dyDescent="0.25">
      <c r="B501" s="304"/>
      <c r="C501" s="309" t="s">
        <v>470</v>
      </c>
      <c r="D501" s="310"/>
      <c r="E501" s="311"/>
      <c r="F501" s="309" t="s">
        <v>473</v>
      </c>
      <c r="G501" s="310"/>
      <c r="H501" s="311"/>
    </row>
    <row r="502" spans="1:8" ht="15" customHeight="1" outlineLevel="1" thickBot="1" x14ac:dyDescent="0.3">
      <c r="B502" s="304"/>
      <c r="C502" s="312" t="s">
        <v>471</v>
      </c>
      <c r="D502" s="313"/>
      <c r="E502" s="241"/>
      <c r="F502" s="314"/>
      <c r="G502" s="315"/>
      <c r="H502" s="316"/>
    </row>
    <row r="503" spans="1:8" ht="13" outlineLevel="1" thickBot="1" x14ac:dyDescent="0.3">
      <c r="B503" s="305"/>
      <c r="C503" s="241" t="s">
        <v>474</v>
      </c>
      <c r="D503" s="241" t="s">
        <v>475</v>
      </c>
      <c r="E503" s="241" t="s">
        <v>476</v>
      </c>
      <c r="F503" s="241" t="s">
        <v>477</v>
      </c>
      <c r="G503" s="241" t="s">
        <v>80</v>
      </c>
      <c r="H503" s="241" t="s">
        <v>81</v>
      </c>
    </row>
    <row r="504" spans="1:8" ht="13" outlineLevel="1" thickBot="1" x14ac:dyDescent="0.3">
      <c r="B504" s="225" t="s">
        <v>22</v>
      </c>
      <c r="C504" s="256">
        <v>0.25</v>
      </c>
      <c r="D504" s="256">
        <v>0.65</v>
      </c>
      <c r="E504" s="256">
        <v>0.1</v>
      </c>
      <c r="F504" s="256">
        <v>0.4</v>
      </c>
      <c r="G504" s="256">
        <v>0.55000000000000004</v>
      </c>
      <c r="H504" s="256">
        <v>0.05</v>
      </c>
    </row>
    <row r="505" spans="1:8" ht="13" outlineLevel="1" thickBot="1" x14ac:dyDescent="0.3">
      <c r="B505" s="225" t="s">
        <v>23</v>
      </c>
      <c r="C505" s="256">
        <v>0.25</v>
      </c>
      <c r="D505" s="256">
        <v>0.65</v>
      </c>
      <c r="E505" s="256">
        <v>0.1</v>
      </c>
      <c r="F505" s="256">
        <v>0.55000000000000004</v>
      </c>
      <c r="G505" s="256">
        <v>0.4</v>
      </c>
      <c r="H505" s="256">
        <v>0.05</v>
      </c>
    </row>
    <row r="506" spans="1:8" ht="13" outlineLevel="1" thickBot="1" x14ac:dyDescent="0.3">
      <c r="B506" s="225" t="s">
        <v>24</v>
      </c>
      <c r="C506" s="256">
        <v>0.25</v>
      </c>
      <c r="D506" s="256">
        <v>0.65</v>
      </c>
      <c r="E506" s="256">
        <v>0.1</v>
      </c>
      <c r="F506" s="256">
        <v>0.8</v>
      </c>
      <c r="G506" s="256">
        <v>0.15</v>
      </c>
      <c r="H506" s="256">
        <v>0.05</v>
      </c>
    </row>
    <row r="507" spans="1:8" ht="13" outlineLevel="1" thickBot="1" x14ac:dyDescent="0.3">
      <c r="B507" s="225" t="s">
        <v>25</v>
      </c>
      <c r="C507" s="256">
        <v>0.1</v>
      </c>
      <c r="D507" s="256">
        <v>0.8</v>
      </c>
      <c r="E507" s="256">
        <v>0.1</v>
      </c>
      <c r="F507" s="256">
        <v>0.8</v>
      </c>
      <c r="G507" s="256">
        <v>0.15</v>
      </c>
      <c r="H507" s="256">
        <v>0.05</v>
      </c>
    </row>
    <row r="508" spans="1:8" ht="13" outlineLevel="1" thickBot="1" x14ac:dyDescent="0.3">
      <c r="B508" s="225" t="s">
        <v>26</v>
      </c>
      <c r="C508" s="256">
        <v>0.25</v>
      </c>
      <c r="D508" s="256">
        <v>0.65</v>
      </c>
      <c r="E508" s="256">
        <v>0.1</v>
      </c>
      <c r="F508" s="256">
        <v>0.65</v>
      </c>
      <c r="G508" s="256">
        <v>0.25</v>
      </c>
      <c r="H508" s="256">
        <v>0.1</v>
      </c>
    </row>
    <row r="509" spans="1:8" ht="13" outlineLevel="1" thickBot="1" x14ac:dyDescent="0.3">
      <c r="B509" s="225" t="s">
        <v>27</v>
      </c>
      <c r="C509" s="256">
        <v>0.25</v>
      </c>
      <c r="D509" s="256">
        <v>0.65</v>
      </c>
      <c r="E509" s="256">
        <v>0.1</v>
      </c>
      <c r="F509" s="256">
        <v>0.55000000000000004</v>
      </c>
      <c r="G509" s="256">
        <v>0.25</v>
      </c>
      <c r="H509" s="256">
        <v>0.2</v>
      </c>
    </row>
    <row r="510" spans="1:8" ht="13" outlineLevel="1" thickBot="1" x14ac:dyDescent="0.3">
      <c r="B510" s="225" t="s">
        <v>28</v>
      </c>
      <c r="C510" s="256">
        <v>0.25</v>
      </c>
      <c r="D510" s="256">
        <v>0.65</v>
      </c>
      <c r="E510" s="256">
        <v>0.1</v>
      </c>
      <c r="F510" s="256">
        <v>0.5</v>
      </c>
      <c r="G510" s="256">
        <v>0.4</v>
      </c>
      <c r="H510" s="256">
        <v>0.1</v>
      </c>
    </row>
    <row r="511" spans="1:8" ht="13" outlineLevel="1" thickBot="1" x14ac:dyDescent="0.3">
      <c r="B511" s="225" t="s">
        <v>29</v>
      </c>
      <c r="C511" s="256">
        <v>0.1</v>
      </c>
      <c r="D511" s="256">
        <v>0.8</v>
      </c>
      <c r="E511" s="256">
        <v>0.1</v>
      </c>
      <c r="F511" s="256">
        <v>0.7</v>
      </c>
      <c r="G511" s="256">
        <v>0.25</v>
      </c>
      <c r="H511" s="256">
        <v>0.05</v>
      </c>
    </row>
    <row r="512" spans="1:8" ht="13" outlineLevel="1" thickBot="1" x14ac:dyDescent="0.3">
      <c r="B512" s="225" t="s">
        <v>30</v>
      </c>
      <c r="C512" s="256">
        <v>0.25</v>
      </c>
      <c r="D512" s="256">
        <v>0.65</v>
      </c>
      <c r="E512" s="256">
        <v>0.1</v>
      </c>
      <c r="F512" s="256">
        <v>0.55000000000000004</v>
      </c>
      <c r="G512" s="256">
        <v>0.25</v>
      </c>
      <c r="H512" s="256">
        <v>0.2</v>
      </c>
    </row>
    <row r="513" spans="1:10" ht="13" outlineLevel="1" thickBot="1" x14ac:dyDescent="0.3">
      <c r="B513" s="225" t="s">
        <v>31</v>
      </c>
      <c r="C513" s="256">
        <v>0.25</v>
      </c>
      <c r="D513" s="256">
        <v>0.65</v>
      </c>
      <c r="E513" s="256">
        <v>0.1</v>
      </c>
      <c r="F513" s="256">
        <v>0.4</v>
      </c>
      <c r="G513" s="256">
        <v>0.55000000000000004</v>
      </c>
      <c r="H513" s="256">
        <v>0.05</v>
      </c>
    </row>
    <row r="514" spans="1:10" ht="13" outlineLevel="1" thickBot="1" x14ac:dyDescent="0.3">
      <c r="B514" s="225" t="s">
        <v>32</v>
      </c>
      <c r="C514" s="256">
        <v>0.7</v>
      </c>
      <c r="D514" s="256">
        <v>0.2</v>
      </c>
      <c r="E514" s="256">
        <v>0.1</v>
      </c>
      <c r="F514" s="256">
        <v>0.85</v>
      </c>
      <c r="G514" s="256">
        <v>0.1</v>
      </c>
      <c r="H514" s="256">
        <v>0.05</v>
      </c>
    </row>
    <row r="515" spans="1:10" ht="13" outlineLevel="1" thickBot="1" x14ac:dyDescent="0.3">
      <c r="B515" s="225" t="s">
        <v>33</v>
      </c>
      <c r="C515" s="256">
        <v>0.7</v>
      </c>
      <c r="D515" s="256">
        <v>0.2</v>
      </c>
      <c r="E515" s="256">
        <v>0.1</v>
      </c>
      <c r="F515" s="256">
        <v>0.9</v>
      </c>
      <c r="G515" s="256">
        <v>0.05</v>
      </c>
      <c r="H515" s="256">
        <v>0.05</v>
      </c>
    </row>
    <row r="516" spans="1:10" ht="13" outlineLevel="1" thickBot="1" x14ac:dyDescent="0.3">
      <c r="B516" s="225" t="s">
        <v>34</v>
      </c>
      <c r="C516" s="256">
        <v>0.5</v>
      </c>
      <c r="D516" s="256">
        <v>0.4</v>
      </c>
      <c r="E516" s="256">
        <v>0.1</v>
      </c>
      <c r="F516" s="256">
        <v>0.9</v>
      </c>
      <c r="G516" s="256">
        <v>0.05</v>
      </c>
      <c r="H516" s="256">
        <v>0.05</v>
      </c>
    </row>
    <row r="517" spans="1:10" ht="13" outlineLevel="1" thickBot="1" x14ac:dyDescent="0.3">
      <c r="B517" s="225" t="s">
        <v>4</v>
      </c>
      <c r="C517" s="256">
        <v>0.65</v>
      </c>
      <c r="D517" s="256">
        <v>0.25</v>
      </c>
      <c r="E517" s="256">
        <v>0.1</v>
      </c>
      <c r="F517" s="256">
        <v>0.5</v>
      </c>
      <c r="G517" s="256">
        <v>0.3</v>
      </c>
      <c r="H517" s="256">
        <v>0.2</v>
      </c>
    </row>
    <row r="518" spans="1:10" ht="13" outlineLevel="1" thickBot="1" x14ac:dyDescent="0.3">
      <c r="B518" s="225" t="s">
        <v>35</v>
      </c>
      <c r="C518" s="256">
        <v>0.25</v>
      </c>
      <c r="D518" s="256">
        <v>0.65</v>
      </c>
      <c r="E518" s="256">
        <v>0.1</v>
      </c>
      <c r="F518" s="256">
        <v>0.7</v>
      </c>
      <c r="G518" s="256">
        <v>0.25</v>
      </c>
      <c r="H518" s="256">
        <v>0.05</v>
      </c>
    </row>
    <row r="520" spans="1:10" ht="15.5" thickBot="1" x14ac:dyDescent="0.3">
      <c r="A520" s="215" t="s">
        <v>478</v>
      </c>
      <c r="B520" s="215"/>
      <c r="C520" s="215"/>
      <c r="D520" s="215"/>
      <c r="E520" s="215"/>
      <c r="F520" s="215"/>
      <c r="G520" s="215"/>
      <c r="H520" s="215"/>
      <c r="I520" s="215"/>
    </row>
    <row r="521" spans="1:10" ht="13" outlineLevel="1" thickBot="1" x14ac:dyDescent="0.3">
      <c r="B521" s="212" t="s">
        <v>299</v>
      </c>
      <c r="C521" s="235" t="s">
        <v>70</v>
      </c>
      <c r="D521" s="235" t="s">
        <v>71</v>
      </c>
      <c r="E521" s="235" t="s">
        <v>72</v>
      </c>
      <c r="F521" s="235" t="s">
        <v>73</v>
      </c>
      <c r="G521" s="235" t="s">
        <v>74</v>
      </c>
      <c r="H521" s="235" t="s">
        <v>75</v>
      </c>
      <c r="I521" s="235" t="s">
        <v>76</v>
      </c>
      <c r="J521" s="235" t="s">
        <v>272</v>
      </c>
    </row>
    <row r="522" spans="1:10" ht="13" outlineLevel="1" thickBot="1" x14ac:dyDescent="0.3">
      <c r="B522" s="210" t="s">
        <v>461</v>
      </c>
      <c r="C522" s="194">
        <v>1200</v>
      </c>
      <c r="D522" s="194">
        <v>3000</v>
      </c>
      <c r="E522" s="194">
        <v>3000</v>
      </c>
      <c r="F522" s="194">
        <v>3000</v>
      </c>
      <c r="G522" s="194">
        <v>3000</v>
      </c>
      <c r="H522" s="194">
        <v>3000</v>
      </c>
      <c r="I522" s="194">
        <v>3000</v>
      </c>
      <c r="J522" s="194">
        <v>4000</v>
      </c>
    </row>
    <row r="523" spans="1:10" ht="13" outlineLevel="1" thickBot="1" x14ac:dyDescent="0.3">
      <c r="B523" s="210" t="s">
        <v>462</v>
      </c>
      <c r="C523" s="193">
        <v>143</v>
      </c>
      <c r="D523" s="193">
        <v>598</v>
      </c>
      <c r="E523" s="193">
        <v>717</v>
      </c>
      <c r="F523" s="193">
        <v>837</v>
      </c>
      <c r="G523" s="193">
        <v>1195</v>
      </c>
      <c r="H523" s="194">
        <v>1793</v>
      </c>
      <c r="I523" s="194">
        <v>2598</v>
      </c>
      <c r="J523" s="194">
        <v>5300</v>
      </c>
    </row>
    <row r="525" spans="1:10" ht="15" customHeight="1" thickBot="1" x14ac:dyDescent="0.3">
      <c r="A525" s="215" t="s">
        <v>508</v>
      </c>
      <c r="C525" s="215"/>
      <c r="D525" s="215"/>
      <c r="E525" s="215"/>
      <c r="F525" s="215"/>
      <c r="G525" s="215"/>
      <c r="H525" s="215"/>
      <c r="I525" s="215"/>
      <c r="J525" s="215"/>
    </row>
    <row r="526" spans="1:10" ht="13" outlineLevel="1" thickBot="1" x14ac:dyDescent="0.3">
      <c r="B526" s="212" t="s">
        <v>479</v>
      </c>
      <c r="C526" s="235" t="s">
        <v>70</v>
      </c>
      <c r="D526" s="235" t="s">
        <v>71</v>
      </c>
      <c r="E526" s="235" t="s">
        <v>72</v>
      </c>
      <c r="F526" s="235" t="s">
        <v>73</v>
      </c>
      <c r="G526" s="235" t="s">
        <v>74</v>
      </c>
      <c r="H526" s="235" t="s">
        <v>75</v>
      </c>
      <c r="I526" s="235" t="s">
        <v>76</v>
      </c>
      <c r="J526" s="235" t="s">
        <v>272</v>
      </c>
    </row>
    <row r="527" spans="1:10" ht="13" outlineLevel="1" thickBot="1" x14ac:dyDescent="0.3">
      <c r="B527" s="210" t="s">
        <v>480</v>
      </c>
      <c r="C527" s="193" t="s">
        <v>510</v>
      </c>
      <c r="D527" s="193" t="s">
        <v>481</v>
      </c>
      <c r="E527" s="193" t="s">
        <v>482</v>
      </c>
      <c r="F527" s="193" t="s">
        <v>483</v>
      </c>
      <c r="G527" s="193" t="s">
        <v>484</v>
      </c>
      <c r="H527" s="193" t="s">
        <v>485</v>
      </c>
      <c r="I527" s="193" t="s">
        <v>486</v>
      </c>
      <c r="J527" s="193" t="s">
        <v>487</v>
      </c>
    </row>
    <row r="528" spans="1:10" ht="13" outlineLevel="1" thickBot="1" x14ac:dyDescent="0.3">
      <c r="B528" s="210" t="s">
        <v>488</v>
      </c>
      <c r="C528" s="288" t="s">
        <v>489</v>
      </c>
      <c r="D528" s="288" t="s">
        <v>489</v>
      </c>
      <c r="E528" s="288" t="s">
        <v>489</v>
      </c>
      <c r="F528" s="288" t="s">
        <v>489</v>
      </c>
      <c r="G528" s="288" t="s">
        <v>489</v>
      </c>
      <c r="H528" s="288" t="s">
        <v>489</v>
      </c>
      <c r="I528" s="288" t="s">
        <v>489</v>
      </c>
      <c r="J528" s="288" t="s">
        <v>489</v>
      </c>
    </row>
    <row r="529" spans="1:11" ht="13" outlineLevel="1" thickBot="1" x14ac:dyDescent="0.3">
      <c r="B529" s="210" t="s">
        <v>490</v>
      </c>
      <c r="C529" s="288" t="s">
        <v>613</v>
      </c>
      <c r="D529" s="288" t="s">
        <v>613</v>
      </c>
      <c r="E529" s="288" t="s">
        <v>613</v>
      </c>
      <c r="F529" s="288" t="s">
        <v>613</v>
      </c>
      <c r="G529" s="288" t="s">
        <v>613</v>
      </c>
      <c r="H529" s="288" t="s">
        <v>613</v>
      </c>
      <c r="I529" s="288" t="s">
        <v>613</v>
      </c>
      <c r="J529" s="288" t="s">
        <v>613</v>
      </c>
    </row>
    <row r="530" spans="1:11" ht="13.75" customHeight="1" outlineLevel="1" thickBot="1" x14ac:dyDescent="0.3">
      <c r="B530" s="210" t="s">
        <v>491</v>
      </c>
      <c r="C530" s="288" t="s">
        <v>614</v>
      </c>
      <c r="D530" s="288" t="s">
        <v>614</v>
      </c>
      <c r="E530" s="288" t="s">
        <v>614</v>
      </c>
      <c r="F530" s="288" t="s">
        <v>614</v>
      </c>
      <c r="G530" s="288" t="s">
        <v>614</v>
      </c>
      <c r="H530" s="288" t="s">
        <v>614</v>
      </c>
      <c r="I530" s="288" t="s">
        <v>614</v>
      </c>
      <c r="J530" s="288" t="s">
        <v>614</v>
      </c>
    </row>
    <row r="531" spans="1:11" outlineLevel="1" x14ac:dyDescent="0.25">
      <c r="B531" s="237" t="s">
        <v>492</v>
      </c>
      <c r="C531" s="302" t="s">
        <v>616</v>
      </c>
      <c r="D531" s="302" t="s">
        <v>616</v>
      </c>
      <c r="E531" s="302" t="s">
        <v>616</v>
      </c>
      <c r="F531" s="302" t="s">
        <v>616</v>
      </c>
      <c r="G531" s="302" t="s">
        <v>616</v>
      </c>
      <c r="H531" s="302" t="s">
        <v>616</v>
      </c>
      <c r="I531" s="302" t="s">
        <v>616</v>
      </c>
      <c r="J531" s="302" t="s">
        <v>616</v>
      </c>
    </row>
    <row r="532" spans="1:11" ht="13" outlineLevel="1" thickBot="1" x14ac:dyDescent="0.3">
      <c r="B532" s="210" t="s">
        <v>493</v>
      </c>
      <c r="C532" s="229"/>
      <c r="D532" s="229"/>
      <c r="E532" s="229"/>
      <c r="F532" s="229"/>
      <c r="G532" s="229"/>
      <c r="H532" s="229"/>
      <c r="I532" s="229"/>
      <c r="J532" s="229"/>
    </row>
    <row r="533" spans="1:11" ht="25.5" outlineLevel="1" thickBot="1" x14ac:dyDescent="0.3">
      <c r="B533" s="210" t="s">
        <v>494</v>
      </c>
      <c r="C533" s="288" t="s">
        <v>615</v>
      </c>
      <c r="D533" s="288" t="s">
        <v>615</v>
      </c>
      <c r="E533" s="288" t="s">
        <v>615</v>
      </c>
      <c r="F533" s="288" t="s">
        <v>615</v>
      </c>
      <c r="G533" s="288" t="s">
        <v>615</v>
      </c>
      <c r="H533" s="288" t="s">
        <v>617</v>
      </c>
      <c r="I533" s="288" t="s">
        <v>618</v>
      </c>
      <c r="J533" s="288" t="s">
        <v>619</v>
      </c>
    </row>
    <row r="534" spans="1:11" ht="13" outlineLevel="1" thickBot="1" x14ac:dyDescent="0.3">
      <c r="B534" s="210" t="s">
        <v>495</v>
      </c>
      <c r="C534" s="288" t="s">
        <v>616</v>
      </c>
      <c r="D534" s="288" t="s">
        <v>616</v>
      </c>
      <c r="E534" s="288" t="s">
        <v>616</v>
      </c>
      <c r="F534" s="288" t="s">
        <v>616</v>
      </c>
      <c r="G534" s="288" t="s">
        <v>616</v>
      </c>
      <c r="H534" s="288" t="s">
        <v>616</v>
      </c>
      <c r="I534" s="288" t="s">
        <v>616</v>
      </c>
      <c r="J534" s="288" t="s">
        <v>616</v>
      </c>
    </row>
    <row r="535" spans="1:11" ht="13" outlineLevel="1" thickBot="1" x14ac:dyDescent="0.3">
      <c r="B535" s="210" t="s">
        <v>199</v>
      </c>
      <c r="C535" s="288" t="s">
        <v>489</v>
      </c>
      <c r="D535" s="288" t="s">
        <v>489</v>
      </c>
      <c r="E535" s="288" t="s">
        <v>489</v>
      </c>
      <c r="F535" s="288" t="s">
        <v>489</v>
      </c>
      <c r="G535" s="288" t="s">
        <v>489</v>
      </c>
      <c r="H535" s="288" t="s">
        <v>489</v>
      </c>
      <c r="I535" s="288" t="s">
        <v>489</v>
      </c>
      <c r="J535" s="288" t="s">
        <v>489</v>
      </c>
    </row>
    <row r="536" spans="1:11" ht="13" outlineLevel="1" thickBot="1" x14ac:dyDescent="0.3">
      <c r="B536" s="210" t="s">
        <v>496</v>
      </c>
      <c r="C536" s="288" t="s">
        <v>613</v>
      </c>
      <c r="D536" s="288" t="s">
        <v>613</v>
      </c>
      <c r="E536" s="288" t="s">
        <v>613</v>
      </c>
      <c r="F536" s="288" t="s">
        <v>613</v>
      </c>
      <c r="G536" s="288" t="s">
        <v>613</v>
      </c>
      <c r="H536" s="288" t="s">
        <v>613</v>
      </c>
      <c r="I536" s="288" t="s">
        <v>613</v>
      </c>
      <c r="J536" s="288" t="s">
        <v>613</v>
      </c>
    </row>
    <row r="537" spans="1:11" outlineLevel="1" x14ac:dyDescent="0.25">
      <c r="B537" s="237" t="s">
        <v>497</v>
      </c>
      <c r="C537" s="230" t="s">
        <v>500</v>
      </c>
      <c r="D537" s="230" t="s">
        <v>500</v>
      </c>
      <c r="E537" s="230" t="s">
        <v>500</v>
      </c>
      <c r="F537" s="230" t="s">
        <v>500</v>
      </c>
      <c r="G537" s="230" t="s">
        <v>503</v>
      </c>
      <c r="H537" s="230" t="s">
        <v>503</v>
      </c>
      <c r="I537" s="230" t="s">
        <v>501</v>
      </c>
      <c r="J537" s="230" t="s">
        <v>506</v>
      </c>
    </row>
    <row r="538" spans="1:11" outlineLevel="1" x14ac:dyDescent="0.25">
      <c r="B538" s="237" t="s">
        <v>498</v>
      </c>
      <c r="C538" s="230" t="s">
        <v>501</v>
      </c>
      <c r="D538" s="230" t="s">
        <v>501</v>
      </c>
      <c r="E538" s="230" t="s">
        <v>502</v>
      </c>
      <c r="F538" s="230" t="s">
        <v>502</v>
      </c>
      <c r="G538" s="230" t="s">
        <v>502</v>
      </c>
      <c r="H538" s="230" t="s">
        <v>504</v>
      </c>
      <c r="I538" s="230" t="s">
        <v>505</v>
      </c>
      <c r="J538" s="230" t="s">
        <v>507</v>
      </c>
    </row>
    <row r="539" spans="1:11" ht="13" outlineLevel="1" thickBot="1" x14ac:dyDescent="0.3">
      <c r="B539" s="210" t="s">
        <v>499</v>
      </c>
      <c r="C539" s="193">
        <v>90</v>
      </c>
      <c r="D539" s="193">
        <v>100</v>
      </c>
      <c r="E539" s="193">
        <v>100</v>
      </c>
      <c r="F539" s="193">
        <v>110</v>
      </c>
      <c r="G539" s="193">
        <v>110</v>
      </c>
      <c r="H539" s="193">
        <v>120</v>
      </c>
      <c r="I539" s="193">
        <v>140</v>
      </c>
      <c r="J539" s="193">
        <v>175</v>
      </c>
    </row>
    <row r="541" spans="1:11" ht="15" customHeight="1" thickBot="1" x14ac:dyDescent="0.3">
      <c r="A541" s="215" t="s">
        <v>536</v>
      </c>
      <c r="B541" s="258"/>
      <c r="C541" s="258"/>
      <c r="D541" s="258"/>
      <c r="E541" s="258"/>
      <c r="F541" s="258"/>
      <c r="G541" s="258"/>
      <c r="H541" s="258"/>
      <c r="I541" s="258"/>
      <c r="J541" s="258"/>
    </row>
    <row r="542" spans="1:11" ht="13" outlineLevel="1" thickBot="1" x14ac:dyDescent="0.3">
      <c r="B542" s="212" t="s">
        <v>509</v>
      </c>
      <c r="C542" s="235" t="s">
        <v>70</v>
      </c>
      <c r="D542" s="235" t="s">
        <v>71</v>
      </c>
      <c r="E542" s="235" t="s">
        <v>72</v>
      </c>
      <c r="F542" s="235" t="s">
        <v>73</v>
      </c>
      <c r="G542" s="235" t="s">
        <v>74</v>
      </c>
      <c r="H542" s="235" t="s">
        <v>75</v>
      </c>
      <c r="I542" s="235" t="s">
        <v>76</v>
      </c>
      <c r="J542" s="235" t="s">
        <v>272</v>
      </c>
      <c r="K542" s="257"/>
    </row>
    <row r="543" spans="1:11" ht="13" outlineLevel="1" thickBot="1" x14ac:dyDescent="0.3">
      <c r="B543" s="210" t="s">
        <v>480</v>
      </c>
      <c r="C543" s="193" t="s">
        <v>510</v>
      </c>
      <c r="D543" s="193" t="s">
        <v>511</v>
      </c>
      <c r="E543" s="193" t="s">
        <v>512</v>
      </c>
      <c r="F543" s="193" t="s">
        <v>513</v>
      </c>
      <c r="G543" s="193" t="s">
        <v>514</v>
      </c>
      <c r="H543" s="193" t="s">
        <v>515</v>
      </c>
      <c r="I543" s="193" t="s">
        <v>516</v>
      </c>
      <c r="J543" s="193" t="s">
        <v>517</v>
      </c>
      <c r="K543" s="257"/>
    </row>
    <row r="544" spans="1:11" ht="13" outlineLevel="1" thickBot="1" x14ac:dyDescent="0.3">
      <c r="B544" s="210" t="s">
        <v>488</v>
      </c>
      <c r="C544" s="288" t="s">
        <v>489</v>
      </c>
      <c r="D544" s="288" t="s">
        <v>489</v>
      </c>
      <c r="E544" s="288" t="s">
        <v>489</v>
      </c>
      <c r="F544" s="288" t="s">
        <v>489</v>
      </c>
      <c r="G544" s="288" t="s">
        <v>489</v>
      </c>
      <c r="H544" s="288" t="s">
        <v>489</v>
      </c>
      <c r="I544" s="288" t="s">
        <v>489</v>
      </c>
      <c r="J544" s="288" t="s">
        <v>489</v>
      </c>
      <c r="K544" s="257"/>
    </row>
    <row r="545" spans="1:11" ht="13" outlineLevel="1" thickBot="1" x14ac:dyDescent="0.3">
      <c r="B545" s="210" t="s">
        <v>490</v>
      </c>
      <c r="C545" s="290" t="s">
        <v>611</v>
      </c>
      <c r="D545" s="290" t="s">
        <v>611</v>
      </c>
      <c r="E545" s="290" t="s">
        <v>611</v>
      </c>
      <c r="F545" s="290" t="s">
        <v>611</v>
      </c>
      <c r="G545" s="290" t="s">
        <v>611</v>
      </c>
      <c r="H545" s="290" t="s">
        <v>611</v>
      </c>
      <c r="I545" s="290" t="s">
        <v>611</v>
      </c>
      <c r="J545" s="290" t="s">
        <v>611</v>
      </c>
      <c r="K545" s="257"/>
    </row>
    <row r="546" spans="1:11" ht="13" outlineLevel="1" thickBot="1" x14ac:dyDescent="0.3">
      <c r="B546" s="210" t="s">
        <v>491</v>
      </c>
      <c r="C546" s="290" t="s">
        <v>620</v>
      </c>
      <c r="D546" s="290" t="s">
        <v>620</v>
      </c>
      <c r="E546" s="290" t="s">
        <v>620</v>
      </c>
      <c r="F546" s="290" t="s">
        <v>620</v>
      </c>
      <c r="G546" s="290" t="s">
        <v>620</v>
      </c>
      <c r="H546" s="290" t="s">
        <v>620</v>
      </c>
      <c r="I546" s="290" t="s">
        <v>620</v>
      </c>
      <c r="J546" s="290" t="s">
        <v>620</v>
      </c>
      <c r="K546" s="257"/>
    </row>
    <row r="547" spans="1:11" outlineLevel="1" x14ac:dyDescent="0.25">
      <c r="B547" s="237" t="s">
        <v>518</v>
      </c>
      <c r="C547" s="299" t="s">
        <v>621</v>
      </c>
      <c r="D547" s="299" t="s">
        <v>621</v>
      </c>
      <c r="E547" s="299" t="s">
        <v>621</v>
      </c>
      <c r="F547" s="299" t="s">
        <v>621</v>
      </c>
      <c r="G547" s="299" t="s">
        <v>621</v>
      </c>
      <c r="H547" s="299" t="s">
        <v>621</v>
      </c>
      <c r="I547" s="299" t="s">
        <v>621</v>
      </c>
      <c r="J547" s="299" t="s">
        <v>621</v>
      </c>
      <c r="K547" s="301"/>
    </row>
    <row r="548" spans="1:11" ht="13" outlineLevel="1" thickBot="1" x14ac:dyDescent="0.3">
      <c r="B548" s="210" t="s">
        <v>493</v>
      </c>
      <c r="C548" s="300"/>
      <c r="D548" s="300"/>
      <c r="E548" s="300"/>
      <c r="F548" s="300"/>
      <c r="G548" s="300"/>
      <c r="H548" s="300"/>
      <c r="I548" s="300"/>
      <c r="J548" s="300"/>
      <c r="K548" s="301"/>
    </row>
    <row r="549" spans="1:11" ht="25.5" outlineLevel="1" thickBot="1" x14ac:dyDescent="0.3">
      <c r="B549" s="210" t="s">
        <v>494</v>
      </c>
      <c r="C549" s="290" t="s">
        <v>622</v>
      </c>
      <c r="D549" s="290" t="s">
        <v>622</v>
      </c>
      <c r="E549" s="290" t="s">
        <v>622</v>
      </c>
      <c r="F549" s="290" t="s">
        <v>622</v>
      </c>
      <c r="G549" s="290" t="s">
        <v>622</v>
      </c>
      <c r="H549" s="290" t="s">
        <v>623</v>
      </c>
      <c r="I549" s="288" t="s">
        <v>519</v>
      </c>
      <c r="J549" s="288" t="s">
        <v>520</v>
      </c>
      <c r="K549" s="257"/>
    </row>
    <row r="550" spans="1:11" ht="13" outlineLevel="1" thickBot="1" x14ac:dyDescent="0.3">
      <c r="B550" s="210" t="s">
        <v>239</v>
      </c>
      <c r="C550" s="290" t="s">
        <v>621</v>
      </c>
      <c r="D550" s="290" t="s">
        <v>621</v>
      </c>
      <c r="E550" s="290" t="s">
        <v>621</v>
      </c>
      <c r="F550" s="290" t="s">
        <v>621</v>
      </c>
      <c r="G550" s="290" t="s">
        <v>621</v>
      </c>
      <c r="H550" s="290" t="s">
        <v>621</v>
      </c>
      <c r="I550" s="290" t="s">
        <v>621</v>
      </c>
      <c r="J550" s="290" t="s">
        <v>621</v>
      </c>
      <c r="K550" s="257"/>
    </row>
    <row r="551" spans="1:11" ht="13" outlineLevel="1" thickBot="1" x14ac:dyDescent="0.3">
      <c r="B551" s="210" t="s">
        <v>199</v>
      </c>
      <c r="C551" s="288" t="s">
        <v>489</v>
      </c>
      <c r="D551" s="288" t="s">
        <v>489</v>
      </c>
      <c r="E551" s="288" t="s">
        <v>489</v>
      </c>
      <c r="F551" s="288" t="s">
        <v>489</v>
      </c>
      <c r="G551" s="288" t="s">
        <v>489</v>
      </c>
      <c r="H551" s="288" t="s">
        <v>489</v>
      </c>
      <c r="I551" s="288" t="s">
        <v>489</v>
      </c>
      <c r="J551" s="288" t="s">
        <v>489</v>
      </c>
      <c r="K551" s="257"/>
    </row>
    <row r="552" spans="1:11" ht="13" outlineLevel="1" thickBot="1" x14ac:dyDescent="0.3">
      <c r="B552" s="210" t="s">
        <v>496</v>
      </c>
      <c r="C552" s="290" t="s">
        <v>611</v>
      </c>
      <c r="D552" s="290" t="s">
        <v>611</v>
      </c>
      <c r="E552" s="290" t="s">
        <v>611</v>
      </c>
      <c r="F552" s="290" t="s">
        <v>611</v>
      </c>
      <c r="G552" s="290" t="s">
        <v>611</v>
      </c>
      <c r="H552" s="290" t="s">
        <v>611</v>
      </c>
      <c r="I552" s="290" t="s">
        <v>611</v>
      </c>
      <c r="J552" s="290" t="s">
        <v>611</v>
      </c>
      <c r="K552" s="257"/>
    </row>
    <row r="553" spans="1:11" outlineLevel="1" x14ac:dyDescent="0.25">
      <c r="B553" s="237" t="s">
        <v>497</v>
      </c>
      <c r="C553" s="230" t="s">
        <v>504</v>
      </c>
      <c r="D553" s="230" t="s">
        <v>523</v>
      </c>
      <c r="E553" s="230" t="s">
        <v>525</v>
      </c>
      <c r="F553" s="230" t="s">
        <v>527</v>
      </c>
      <c r="G553" s="230" t="s">
        <v>505</v>
      </c>
      <c r="H553" s="230" t="s">
        <v>530</v>
      </c>
      <c r="I553" s="230" t="s">
        <v>532</v>
      </c>
      <c r="J553" s="230" t="s">
        <v>534</v>
      </c>
      <c r="K553" s="301"/>
    </row>
    <row r="554" spans="1:11" outlineLevel="1" x14ac:dyDescent="0.25">
      <c r="B554" s="237" t="s">
        <v>521</v>
      </c>
      <c r="C554" s="230" t="s">
        <v>522</v>
      </c>
      <c r="D554" s="230" t="s">
        <v>524</v>
      </c>
      <c r="E554" s="230" t="s">
        <v>526</v>
      </c>
      <c r="F554" s="230" t="s">
        <v>528</v>
      </c>
      <c r="G554" s="230" t="s">
        <v>529</v>
      </c>
      <c r="H554" s="230" t="s">
        <v>531</v>
      </c>
      <c r="I554" s="230" t="s">
        <v>533</v>
      </c>
      <c r="J554" s="230" t="s">
        <v>535</v>
      </c>
      <c r="K554" s="301"/>
    </row>
    <row r="555" spans="1:11" ht="13" outlineLevel="1" thickBot="1" x14ac:dyDescent="0.3">
      <c r="B555" s="210" t="s">
        <v>499</v>
      </c>
      <c r="C555" s="193">
        <v>180</v>
      </c>
      <c r="D555" s="193">
        <v>190</v>
      </c>
      <c r="E555" s="193">
        <v>200</v>
      </c>
      <c r="F555" s="193">
        <v>210</v>
      </c>
      <c r="G555" s="193">
        <v>220</v>
      </c>
      <c r="H555" s="193">
        <v>240</v>
      </c>
      <c r="I555" s="193">
        <v>280</v>
      </c>
      <c r="J555" s="193">
        <v>350</v>
      </c>
      <c r="K555" s="301"/>
    </row>
    <row r="557" spans="1:11" ht="15" customHeight="1" thickBot="1" x14ac:dyDescent="0.3">
      <c r="A557" s="215" t="s">
        <v>554</v>
      </c>
      <c r="C557" s="215"/>
      <c r="D557" s="215"/>
      <c r="E557" s="215"/>
      <c r="F557" s="215"/>
      <c r="G557" s="215"/>
      <c r="H557" s="215"/>
      <c r="I557" s="215"/>
      <c r="J557" s="215"/>
    </row>
    <row r="558" spans="1:11" ht="13" outlineLevel="1" thickBot="1" x14ac:dyDescent="0.3">
      <c r="B558" s="212" t="s">
        <v>509</v>
      </c>
      <c r="C558" s="235" t="s">
        <v>70</v>
      </c>
      <c r="D558" s="235" t="s">
        <v>71</v>
      </c>
      <c r="E558" s="235" t="s">
        <v>72</v>
      </c>
      <c r="F558" s="235" t="s">
        <v>73</v>
      </c>
      <c r="G558" s="235" t="s">
        <v>74</v>
      </c>
      <c r="H558" s="235" t="s">
        <v>75</v>
      </c>
      <c r="I558" s="235" t="s">
        <v>76</v>
      </c>
      <c r="J558" s="235" t="s">
        <v>272</v>
      </c>
    </row>
    <row r="559" spans="1:11" ht="13" outlineLevel="1" thickBot="1" x14ac:dyDescent="0.3">
      <c r="B559" s="210" t="s">
        <v>480</v>
      </c>
      <c r="C559" s="193" t="s">
        <v>639</v>
      </c>
      <c r="D559" s="193" t="s">
        <v>640</v>
      </c>
      <c r="E559" s="193" t="s">
        <v>641</v>
      </c>
      <c r="F559" s="193" t="s">
        <v>642</v>
      </c>
      <c r="G559" s="193" t="s">
        <v>643</v>
      </c>
      <c r="H559" s="193" t="s">
        <v>644</v>
      </c>
      <c r="I559" s="193" t="s">
        <v>645</v>
      </c>
      <c r="J559" s="193" t="s">
        <v>646</v>
      </c>
    </row>
    <row r="560" spans="1:11" ht="13" outlineLevel="1" thickBot="1" x14ac:dyDescent="0.3">
      <c r="B560" s="210" t="s">
        <v>488</v>
      </c>
      <c r="C560" s="290" t="s">
        <v>616</v>
      </c>
      <c r="D560" s="290" t="s">
        <v>616</v>
      </c>
      <c r="E560" s="290" t="s">
        <v>616</v>
      </c>
      <c r="F560" s="290" t="s">
        <v>616</v>
      </c>
      <c r="G560" s="290" t="s">
        <v>616</v>
      </c>
      <c r="H560" s="290" t="s">
        <v>616</v>
      </c>
      <c r="I560" s="290" t="s">
        <v>616</v>
      </c>
      <c r="J560" s="290" t="s">
        <v>616</v>
      </c>
    </row>
    <row r="561" spans="1:10" ht="13" outlineLevel="1" thickBot="1" x14ac:dyDescent="0.3">
      <c r="B561" s="210" t="s">
        <v>490</v>
      </c>
      <c r="C561" s="290" t="s">
        <v>620</v>
      </c>
      <c r="D561" s="290" t="s">
        <v>620</v>
      </c>
      <c r="E561" s="290" t="s">
        <v>620</v>
      </c>
      <c r="F561" s="290" t="s">
        <v>620</v>
      </c>
      <c r="G561" s="290" t="s">
        <v>620</v>
      </c>
      <c r="H561" s="290" t="s">
        <v>620</v>
      </c>
      <c r="I561" s="290" t="s">
        <v>620</v>
      </c>
      <c r="J561" s="290" t="s">
        <v>620</v>
      </c>
    </row>
    <row r="562" spans="1:10" ht="13" outlineLevel="1" thickBot="1" x14ac:dyDescent="0.3">
      <c r="B562" s="210" t="s">
        <v>491</v>
      </c>
      <c r="C562" s="290" t="s">
        <v>624</v>
      </c>
      <c r="D562" s="290" t="s">
        <v>624</v>
      </c>
      <c r="E562" s="290" t="s">
        <v>624</v>
      </c>
      <c r="F562" s="290" t="s">
        <v>624</v>
      </c>
      <c r="G562" s="290" t="s">
        <v>624</v>
      </c>
      <c r="H562" s="290" t="s">
        <v>624</v>
      </c>
      <c r="I562" s="290" t="s">
        <v>624</v>
      </c>
      <c r="J562" s="290" t="s">
        <v>624</v>
      </c>
    </row>
    <row r="563" spans="1:10" outlineLevel="1" x14ac:dyDescent="0.25">
      <c r="B563" s="237" t="s">
        <v>518</v>
      </c>
      <c r="C563" s="299" t="s">
        <v>625</v>
      </c>
      <c r="D563" s="299" t="s">
        <v>625</v>
      </c>
      <c r="E563" s="299" t="s">
        <v>625</v>
      </c>
      <c r="F563" s="299" t="s">
        <v>625</v>
      </c>
      <c r="G563" s="299" t="s">
        <v>625</v>
      </c>
      <c r="H563" s="299" t="s">
        <v>625</v>
      </c>
      <c r="I563" s="299" t="s">
        <v>625</v>
      </c>
      <c r="J563" s="299" t="s">
        <v>625</v>
      </c>
    </row>
    <row r="564" spans="1:10" ht="13" outlineLevel="1" thickBot="1" x14ac:dyDescent="0.3">
      <c r="B564" s="210" t="s">
        <v>493</v>
      </c>
      <c r="C564" s="300"/>
      <c r="D564" s="300"/>
      <c r="E564" s="300"/>
      <c r="F564" s="300"/>
      <c r="G564" s="300"/>
      <c r="H564" s="300"/>
      <c r="I564" s="300"/>
      <c r="J564" s="300"/>
    </row>
    <row r="565" spans="1:10" ht="25.5" outlineLevel="1" thickBot="1" x14ac:dyDescent="0.3">
      <c r="B565" s="210" t="s">
        <v>494</v>
      </c>
      <c r="C565" s="290" t="s">
        <v>626</v>
      </c>
      <c r="D565" s="290" t="s">
        <v>626</v>
      </c>
      <c r="E565" s="290" t="s">
        <v>626</v>
      </c>
      <c r="F565" s="290" t="s">
        <v>626</v>
      </c>
      <c r="G565" s="290" t="s">
        <v>626</v>
      </c>
      <c r="H565" s="288" t="s">
        <v>537</v>
      </c>
      <c r="I565" s="288" t="s">
        <v>538</v>
      </c>
      <c r="J565" s="288" t="s">
        <v>539</v>
      </c>
    </row>
    <row r="566" spans="1:10" ht="13" outlineLevel="1" thickBot="1" x14ac:dyDescent="0.3">
      <c r="B566" s="210" t="s">
        <v>239</v>
      </c>
      <c r="C566" s="290" t="s">
        <v>627</v>
      </c>
      <c r="D566" s="290" t="s">
        <v>627</v>
      </c>
      <c r="E566" s="290" t="s">
        <v>627</v>
      </c>
      <c r="F566" s="290" t="s">
        <v>627</v>
      </c>
      <c r="G566" s="290" t="s">
        <v>627</v>
      </c>
      <c r="H566" s="290" t="s">
        <v>627</v>
      </c>
      <c r="I566" s="290" t="s">
        <v>627</v>
      </c>
      <c r="J566" s="290" t="s">
        <v>627</v>
      </c>
    </row>
    <row r="567" spans="1:10" ht="13" outlineLevel="1" thickBot="1" x14ac:dyDescent="0.3">
      <c r="B567" s="210" t="s">
        <v>199</v>
      </c>
      <c r="C567" s="290" t="s">
        <v>616</v>
      </c>
      <c r="D567" s="290" t="s">
        <v>616</v>
      </c>
      <c r="E567" s="290" t="s">
        <v>616</v>
      </c>
      <c r="F567" s="290" t="s">
        <v>616</v>
      </c>
      <c r="G567" s="290" t="s">
        <v>616</v>
      </c>
      <c r="H567" s="290" t="s">
        <v>616</v>
      </c>
      <c r="I567" s="290" t="s">
        <v>616</v>
      </c>
      <c r="J567" s="290" t="s">
        <v>616</v>
      </c>
    </row>
    <row r="568" spans="1:10" ht="13" outlineLevel="1" thickBot="1" x14ac:dyDescent="0.3">
      <c r="B568" s="210" t="s">
        <v>496</v>
      </c>
      <c r="C568" s="290" t="s">
        <v>628</v>
      </c>
      <c r="D568" s="290" t="s">
        <v>628</v>
      </c>
      <c r="E568" s="290" t="s">
        <v>628</v>
      </c>
      <c r="F568" s="290" t="s">
        <v>628</v>
      </c>
      <c r="G568" s="290" t="s">
        <v>628</v>
      </c>
      <c r="H568" s="290" t="s">
        <v>628</v>
      </c>
      <c r="I568" s="290" t="s">
        <v>628</v>
      </c>
      <c r="J568" s="290" t="s">
        <v>628</v>
      </c>
    </row>
    <row r="569" spans="1:10" outlineLevel="1" x14ac:dyDescent="0.25">
      <c r="B569" s="237" t="s">
        <v>497</v>
      </c>
      <c r="C569" s="230" t="s">
        <v>531</v>
      </c>
      <c r="D569" s="230" t="s">
        <v>541</v>
      </c>
      <c r="E569" s="230" t="s">
        <v>543</v>
      </c>
      <c r="F569" s="230" t="s">
        <v>533</v>
      </c>
      <c r="G569" s="230" t="s">
        <v>546</v>
      </c>
      <c r="H569" s="230" t="s">
        <v>548</v>
      </c>
      <c r="I569" s="230" t="s">
        <v>550</v>
      </c>
      <c r="J569" s="230" t="s">
        <v>552</v>
      </c>
    </row>
    <row r="570" spans="1:10" outlineLevel="1" x14ac:dyDescent="0.25">
      <c r="B570" s="237" t="s">
        <v>521</v>
      </c>
      <c r="C570" s="230" t="s">
        <v>540</v>
      </c>
      <c r="D570" s="230" t="s">
        <v>542</v>
      </c>
      <c r="E570" s="230" t="s">
        <v>544</v>
      </c>
      <c r="F570" s="230" t="s">
        <v>545</v>
      </c>
      <c r="G570" s="230" t="s">
        <v>547</v>
      </c>
      <c r="H570" s="230" t="s">
        <v>549</v>
      </c>
      <c r="I570" s="230" t="s">
        <v>551</v>
      </c>
      <c r="J570" s="230" t="s">
        <v>553</v>
      </c>
    </row>
    <row r="571" spans="1:10" ht="13" outlineLevel="1" thickBot="1" x14ac:dyDescent="0.3">
      <c r="B571" s="210" t="s">
        <v>499</v>
      </c>
      <c r="C571" s="193">
        <v>360</v>
      </c>
      <c r="D571" s="193">
        <v>380</v>
      </c>
      <c r="E571" s="193">
        <v>400</v>
      </c>
      <c r="F571" s="193">
        <v>420</v>
      </c>
      <c r="G571" s="193">
        <v>440</v>
      </c>
      <c r="H571" s="193">
        <v>480</v>
      </c>
      <c r="I571" s="193">
        <v>560</v>
      </c>
      <c r="J571" s="193">
        <v>700</v>
      </c>
    </row>
    <row r="573" spans="1:10" ht="15" customHeight="1" thickBot="1" x14ac:dyDescent="0.3">
      <c r="A573" s="215" t="s">
        <v>567</v>
      </c>
      <c r="B573" s="215"/>
      <c r="C573" s="215"/>
      <c r="D573" s="215"/>
      <c r="E573" s="215"/>
      <c r="F573" s="215"/>
      <c r="G573" s="215"/>
      <c r="H573" s="215"/>
      <c r="I573" s="215"/>
    </row>
    <row r="574" spans="1:10" ht="13" outlineLevel="1" thickBot="1" x14ac:dyDescent="0.3">
      <c r="B574" s="212" t="s">
        <v>509</v>
      </c>
      <c r="C574" s="235" t="s">
        <v>70</v>
      </c>
      <c r="D574" s="235" t="s">
        <v>71</v>
      </c>
      <c r="E574" s="235" t="s">
        <v>72</v>
      </c>
      <c r="F574" s="235" t="s">
        <v>73</v>
      </c>
      <c r="G574" s="235" t="s">
        <v>74</v>
      </c>
      <c r="H574" s="235" t="s">
        <v>75</v>
      </c>
      <c r="I574" s="235" t="s">
        <v>76</v>
      </c>
      <c r="J574" s="235" t="s">
        <v>272</v>
      </c>
    </row>
    <row r="575" spans="1:10" ht="13" outlineLevel="1" thickBot="1" x14ac:dyDescent="0.3">
      <c r="B575" s="210" t="s">
        <v>480</v>
      </c>
      <c r="C575" s="193" t="s">
        <v>641</v>
      </c>
      <c r="D575" s="193" t="s">
        <v>647</v>
      </c>
      <c r="E575" s="193" t="s">
        <v>648</v>
      </c>
      <c r="F575" s="193" t="s">
        <v>649</v>
      </c>
      <c r="G575" s="193" t="s">
        <v>644</v>
      </c>
      <c r="H575" s="193" t="s">
        <v>650</v>
      </c>
      <c r="I575" s="193" t="s">
        <v>651</v>
      </c>
      <c r="J575" s="193" t="s">
        <v>652</v>
      </c>
    </row>
    <row r="576" spans="1:10" ht="13" outlineLevel="1" thickBot="1" x14ac:dyDescent="0.3">
      <c r="B576" s="210" t="s">
        <v>488</v>
      </c>
      <c r="C576" s="290" t="s">
        <v>616</v>
      </c>
      <c r="D576" s="290" t="s">
        <v>616</v>
      </c>
      <c r="E576" s="290" t="s">
        <v>616</v>
      </c>
      <c r="F576" s="290" t="s">
        <v>616</v>
      </c>
      <c r="G576" s="290" t="s">
        <v>616</v>
      </c>
      <c r="H576" s="290" t="s">
        <v>616</v>
      </c>
      <c r="I576" s="290" t="s">
        <v>616</v>
      </c>
      <c r="J576" s="290" t="s">
        <v>616</v>
      </c>
    </row>
    <row r="577" spans="1:10" ht="13" outlineLevel="1" thickBot="1" x14ac:dyDescent="0.3">
      <c r="B577" s="210" t="s">
        <v>555</v>
      </c>
      <c r="C577" s="290" t="s">
        <v>629</v>
      </c>
      <c r="D577" s="290" t="s">
        <v>629</v>
      </c>
      <c r="E577" s="290" t="s">
        <v>629</v>
      </c>
      <c r="F577" s="290" t="s">
        <v>629</v>
      </c>
      <c r="G577" s="290" t="s">
        <v>629</v>
      </c>
      <c r="H577" s="290" t="s">
        <v>629</v>
      </c>
      <c r="I577" s="290" t="s">
        <v>629</v>
      </c>
      <c r="J577" s="290" t="s">
        <v>629</v>
      </c>
    </row>
    <row r="578" spans="1:10" ht="13" outlineLevel="1" thickBot="1" x14ac:dyDescent="0.3">
      <c r="B578" s="210" t="s">
        <v>491</v>
      </c>
      <c r="C578" s="290" t="s">
        <v>630</v>
      </c>
      <c r="D578" s="290" t="s">
        <v>630</v>
      </c>
      <c r="E578" s="290" t="s">
        <v>630</v>
      </c>
      <c r="F578" s="290" t="s">
        <v>630</v>
      </c>
      <c r="G578" s="290" t="s">
        <v>630</v>
      </c>
      <c r="H578" s="290" t="s">
        <v>630</v>
      </c>
      <c r="I578" s="290" t="s">
        <v>630</v>
      </c>
      <c r="J578" s="290" t="s">
        <v>630</v>
      </c>
    </row>
    <row r="579" spans="1:10" outlineLevel="1" x14ac:dyDescent="0.25">
      <c r="B579" s="237" t="s">
        <v>518</v>
      </c>
      <c r="C579" s="299" t="s">
        <v>631</v>
      </c>
      <c r="D579" s="299" t="s">
        <v>631</v>
      </c>
      <c r="E579" s="299" t="s">
        <v>631</v>
      </c>
      <c r="F579" s="299" t="s">
        <v>631</v>
      </c>
      <c r="G579" s="299" t="s">
        <v>631</v>
      </c>
      <c r="H579" s="299" t="s">
        <v>631</v>
      </c>
      <c r="I579" s="299" t="s">
        <v>631</v>
      </c>
      <c r="J579" s="299" t="s">
        <v>631</v>
      </c>
    </row>
    <row r="580" spans="1:10" ht="13" outlineLevel="1" thickBot="1" x14ac:dyDescent="0.3">
      <c r="B580" s="210" t="s">
        <v>493</v>
      </c>
      <c r="C580" s="300"/>
      <c r="D580" s="300"/>
      <c r="E580" s="300"/>
      <c r="F580" s="300"/>
      <c r="G580" s="300"/>
      <c r="H580" s="300"/>
      <c r="I580" s="300"/>
      <c r="J580" s="300"/>
    </row>
    <row r="581" spans="1:10" ht="25.5" outlineLevel="1" thickBot="1" x14ac:dyDescent="0.3">
      <c r="B581" s="210" t="s">
        <v>494</v>
      </c>
      <c r="C581" s="288" t="s">
        <v>537</v>
      </c>
      <c r="D581" s="288" t="s">
        <v>537</v>
      </c>
      <c r="E581" s="288" t="s">
        <v>537</v>
      </c>
      <c r="F581" s="288" t="s">
        <v>537</v>
      </c>
      <c r="G581" s="288" t="s">
        <v>537</v>
      </c>
      <c r="H581" s="288" t="s">
        <v>556</v>
      </c>
      <c r="I581" s="288" t="s">
        <v>557</v>
      </c>
      <c r="J581" s="288" t="s">
        <v>558</v>
      </c>
    </row>
    <row r="582" spans="1:10" ht="13" outlineLevel="1" thickBot="1" x14ac:dyDescent="0.3">
      <c r="B582" s="210" t="s">
        <v>239</v>
      </c>
      <c r="C582" s="290" t="s">
        <v>632</v>
      </c>
      <c r="D582" s="290" t="s">
        <v>632</v>
      </c>
      <c r="E582" s="290" t="s">
        <v>632</v>
      </c>
      <c r="F582" s="290" t="s">
        <v>632</v>
      </c>
      <c r="G582" s="290" t="s">
        <v>632</v>
      </c>
      <c r="H582" s="290" t="s">
        <v>632</v>
      </c>
      <c r="I582" s="290" t="s">
        <v>632</v>
      </c>
      <c r="J582" s="290" t="s">
        <v>632</v>
      </c>
    </row>
    <row r="583" spans="1:10" ht="13" outlineLevel="1" thickBot="1" x14ac:dyDescent="0.3">
      <c r="B583" s="210" t="s">
        <v>199</v>
      </c>
      <c r="C583" s="290" t="s">
        <v>616</v>
      </c>
      <c r="D583" s="290" t="s">
        <v>616</v>
      </c>
      <c r="E583" s="290" t="s">
        <v>616</v>
      </c>
      <c r="F583" s="290" t="s">
        <v>616</v>
      </c>
      <c r="G583" s="290" t="s">
        <v>616</v>
      </c>
      <c r="H583" s="290" t="s">
        <v>616</v>
      </c>
      <c r="I583" s="290" t="s">
        <v>616</v>
      </c>
      <c r="J583" s="290" t="s">
        <v>616</v>
      </c>
    </row>
    <row r="584" spans="1:10" ht="13" outlineLevel="1" thickBot="1" x14ac:dyDescent="0.3">
      <c r="B584" s="210" t="s">
        <v>496</v>
      </c>
      <c r="C584" s="290" t="s">
        <v>633</v>
      </c>
      <c r="D584" s="290" t="s">
        <v>633</v>
      </c>
      <c r="E584" s="290" t="s">
        <v>633</v>
      </c>
      <c r="F584" s="290" t="s">
        <v>633</v>
      </c>
      <c r="G584" s="290" t="s">
        <v>633</v>
      </c>
      <c r="H584" s="290" t="s">
        <v>633</v>
      </c>
      <c r="I584" s="290" t="s">
        <v>633</v>
      </c>
      <c r="J584" s="290" t="s">
        <v>633</v>
      </c>
    </row>
    <row r="585" spans="1:10" outlineLevel="1" x14ac:dyDescent="0.25">
      <c r="B585" s="237" t="s">
        <v>497</v>
      </c>
      <c r="C585" s="230" t="s">
        <v>540</v>
      </c>
      <c r="D585" s="230" t="s">
        <v>542</v>
      </c>
      <c r="E585" s="230" t="s">
        <v>544</v>
      </c>
      <c r="F585" s="230" t="s">
        <v>545</v>
      </c>
      <c r="G585" s="230" t="s">
        <v>547</v>
      </c>
      <c r="H585" s="230" t="s">
        <v>549</v>
      </c>
      <c r="I585" s="230" t="s">
        <v>551</v>
      </c>
      <c r="J585" s="230" t="s">
        <v>553</v>
      </c>
    </row>
    <row r="586" spans="1:10" outlineLevel="1" x14ac:dyDescent="0.25">
      <c r="B586" s="237" t="s">
        <v>521</v>
      </c>
      <c r="C586" s="230" t="s">
        <v>559</v>
      </c>
      <c r="D586" s="230" t="s">
        <v>560</v>
      </c>
      <c r="E586" s="230" t="s">
        <v>561</v>
      </c>
      <c r="F586" s="230" t="s">
        <v>562</v>
      </c>
      <c r="G586" s="230" t="s">
        <v>563</v>
      </c>
      <c r="H586" s="230" t="s">
        <v>564</v>
      </c>
      <c r="I586" s="230" t="s">
        <v>565</v>
      </c>
      <c r="J586" s="230" t="s">
        <v>566</v>
      </c>
    </row>
    <row r="587" spans="1:10" ht="13" outlineLevel="1" thickBot="1" x14ac:dyDescent="0.3">
      <c r="B587" s="210" t="s">
        <v>499</v>
      </c>
      <c r="C587" s="193">
        <v>540</v>
      </c>
      <c r="D587" s="193">
        <v>570</v>
      </c>
      <c r="E587" s="193">
        <v>600</v>
      </c>
      <c r="F587" s="193">
        <v>630</v>
      </c>
      <c r="G587" s="193">
        <v>600</v>
      </c>
      <c r="H587" s="193">
        <v>720</v>
      </c>
      <c r="I587" s="193">
        <v>840</v>
      </c>
      <c r="J587" s="193">
        <v>1050</v>
      </c>
    </row>
    <row r="589" spans="1:10" ht="15" customHeight="1" thickBot="1" x14ac:dyDescent="0.3">
      <c r="A589" s="215" t="s">
        <v>570</v>
      </c>
      <c r="B589" s="215"/>
      <c r="C589" s="215"/>
      <c r="D589" s="215"/>
      <c r="E589" s="215"/>
      <c r="F589" s="215"/>
      <c r="G589" s="215"/>
      <c r="H589" s="215"/>
      <c r="I589" s="215"/>
    </row>
    <row r="590" spans="1:10" ht="13" outlineLevel="1" thickBot="1" x14ac:dyDescent="0.3">
      <c r="B590" s="212" t="s">
        <v>568</v>
      </c>
      <c r="C590" s="259" t="s">
        <v>70</v>
      </c>
      <c r="D590" s="259" t="s">
        <v>71</v>
      </c>
      <c r="E590" s="259" t="s">
        <v>72</v>
      </c>
      <c r="F590" s="259" t="s">
        <v>73</v>
      </c>
      <c r="G590" s="259" t="s">
        <v>74</v>
      </c>
      <c r="H590" s="259" t="s">
        <v>75</v>
      </c>
      <c r="I590" s="259" t="s">
        <v>76</v>
      </c>
      <c r="J590" s="259" t="s">
        <v>272</v>
      </c>
    </row>
    <row r="591" spans="1:10" ht="13" outlineLevel="1" thickBot="1" x14ac:dyDescent="0.3">
      <c r="B591" s="210" t="s">
        <v>22</v>
      </c>
      <c r="C591" s="263">
        <v>1.819228597033532</v>
      </c>
      <c r="D591" s="263">
        <v>2.0215666922131561</v>
      </c>
      <c r="E591" s="263">
        <v>2.1147780250956592</v>
      </c>
      <c r="F591" s="263">
        <v>2.1558345674216106</v>
      </c>
      <c r="G591" s="263">
        <v>2.299215312736508</v>
      </c>
      <c r="H591" s="263">
        <v>3.6677243868118992</v>
      </c>
      <c r="I591" s="263">
        <v>4.6493895885838583</v>
      </c>
      <c r="J591" s="264">
        <v>5.8796889631844635</v>
      </c>
    </row>
    <row r="592" spans="1:10" ht="13" outlineLevel="1" thickBot="1" x14ac:dyDescent="0.3">
      <c r="B592" s="210" t="s">
        <v>23</v>
      </c>
      <c r="C592" s="263">
        <v>1.8362628436395223</v>
      </c>
      <c r="D592" s="263">
        <v>2.0407302196448951</v>
      </c>
      <c r="E592" s="263">
        <v>2.1350061929402728</v>
      </c>
      <c r="F592" s="263">
        <v>2.1771273756790981</v>
      </c>
      <c r="G592" s="263">
        <v>2.3258313230583672</v>
      </c>
      <c r="H592" s="263">
        <v>3.704986801262502</v>
      </c>
      <c r="I592" s="263">
        <v>4.6919752050988341</v>
      </c>
      <c r="J592" s="264">
        <v>5.9275977817638115</v>
      </c>
    </row>
    <row r="593" spans="1:13" ht="13" outlineLevel="1" thickBot="1" x14ac:dyDescent="0.3">
      <c r="B593" s="210" t="s">
        <v>24</v>
      </c>
      <c r="C593" s="263">
        <v>1.7614037186495062</v>
      </c>
      <c r="D593" s="263">
        <v>1.9565137040311269</v>
      </c>
      <c r="E593" s="263">
        <v>2.0461109820146284</v>
      </c>
      <c r="F593" s="263">
        <v>2.0835534694415774</v>
      </c>
      <c r="G593" s="263">
        <v>2.2088639402614674</v>
      </c>
      <c r="H593" s="263">
        <v>3.5412324653468419</v>
      </c>
      <c r="I593" s="263">
        <v>4.5048273926237936</v>
      </c>
      <c r="J593" s="264">
        <v>5.717056492729391</v>
      </c>
    </row>
    <row r="594" spans="1:13" ht="13" outlineLevel="1" thickBot="1" x14ac:dyDescent="0.3">
      <c r="B594" s="265" t="s">
        <v>25</v>
      </c>
      <c r="C594" s="240">
        <v>1.8124238722495059</v>
      </c>
      <c r="D594" s="240">
        <v>2.0139113768311265</v>
      </c>
      <c r="E594" s="240">
        <v>2.1066974144146284</v>
      </c>
      <c r="F594" s="240">
        <v>2.1473286614415774</v>
      </c>
      <c r="G594" s="240">
        <v>2.2885829302614678</v>
      </c>
      <c r="H594" s="240">
        <v>3.6528390513468416</v>
      </c>
      <c r="I594" s="240">
        <v>4.6323777766237928</v>
      </c>
      <c r="J594" s="260">
        <v>5.8605506747293914</v>
      </c>
    </row>
    <row r="595" spans="1:13" ht="13" outlineLevel="1" thickBot="1" x14ac:dyDescent="0.3">
      <c r="B595" s="265" t="s">
        <v>26</v>
      </c>
      <c r="C595" s="240">
        <v>1.901627284732841</v>
      </c>
      <c r="D595" s="240">
        <v>2.1142652158748785</v>
      </c>
      <c r="E595" s="240">
        <v>2.2126264667385893</v>
      </c>
      <c r="F595" s="240">
        <v>2.2588329270457468</v>
      </c>
      <c r="G595" s="240">
        <v>2.4279632622666778</v>
      </c>
      <c r="H595" s="240">
        <v>3.8479715161541375</v>
      </c>
      <c r="I595" s="240">
        <v>4.8553863078321315</v>
      </c>
      <c r="J595" s="260">
        <v>6.1114352723387704</v>
      </c>
    </row>
    <row r="596" spans="1:13" ht="13" outlineLevel="1" thickBot="1" x14ac:dyDescent="0.3">
      <c r="B596" s="265" t="s">
        <v>27</v>
      </c>
      <c r="C596" s="240">
        <v>2.056470182507498</v>
      </c>
      <c r="D596" s="240">
        <v>2.2884634758713678</v>
      </c>
      <c r="E596" s="240">
        <v>2.3965024078459933</v>
      </c>
      <c r="F596" s="240">
        <v>2.4523865492640673</v>
      </c>
      <c r="G596" s="240">
        <v>2.6699052900395799</v>
      </c>
      <c r="H596" s="240">
        <v>4.1866903550361991</v>
      </c>
      <c r="I596" s="240">
        <v>5.2424935522687726</v>
      </c>
      <c r="J596" s="260">
        <v>6.5469309223299916</v>
      </c>
    </row>
    <row r="597" spans="1:13" ht="13" outlineLevel="1" thickBot="1" x14ac:dyDescent="0.3">
      <c r="B597" s="210" t="s">
        <v>28</v>
      </c>
      <c r="C597" s="263">
        <v>1.8804072461268506</v>
      </c>
      <c r="D597" s="263">
        <v>2.0903926724431394</v>
      </c>
      <c r="E597" s="263">
        <v>2.1874276708939755</v>
      </c>
      <c r="F597" s="263">
        <v>2.2323078787882591</v>
      </c>
      <c r="G597" s="263">
        <v>2.3948069519448181</v>
      </c>
      <c r="H597" s="263">
        <v>3.8015526817035337</v>
      </c>
      <c r="I597" s="263">
        <v>4.8023362113171553</v>
      </c>
      <c r="J597" s="264">
        <v>6.0517539137594216</v>
      </c>
    </row>
    <row r="598" spans="1:13" ht="13" outlineLevel="1" thickBot="1" x14ac:dyDescent="0.3">
      <c r="B598" s="210" t="s">
        <v>29</v>
      </c>
      <c r="C598" s="263">
        <v>1.868281306239175</v>
      </c>
      <c r="D598" s="263">
        <v>2.0767509900695047</v>
      </c>
      <c r="E598" s="263">
        <v>2.1730281172773607</v>
      </c>
      <c r="F598" s="263">
        <v>2.2171504539286637</v>
      </c>
      <c r="G598" s="263">
        <v>2.3758601708703249</v>
      </c>
      <c r="H598" s="263">
        <v>3.775027188199243</v>
      </c>
      <c r="I598" s="263">
        <v>4.7720213615979654</v>
      </c>
      <c r="J598" s="264">
        <v>6.0176497078253348</v>
      </c>
    </row>
    <row r="599" spans="1:13" ht="13" outlineLevel="1" thickBot="1" x14ac:dyDescent="0.3">
      <c r="B599" s="210" t="s">
        <v>30</v>
      </c>
      <c r="C599" s="263">
        <v>2.0464242817074978</v>
      </c>
      <c r="D599" s="263">
        <v>2.2771618374713678</v>
      </c>
      <c r="E599" s="263">
        <v>2.3845729006459937</v>
      </c>
      <c r="F599" s="263">
        <v>2.4398291732640671</v>
      </c>
      <c r="G599" s="263">
        <v>2.6542085700395801</v>
      </c>
      <c r="H599" s="263">
        <v>4.1647149470361997</v>
      </c>
      <c r="I599" s="263">
        <v>5.2173788002687722</v>
      </c>
      <c r="J599" s="264">
        <v>6.518676826329993</v>
      </c>
    </row>
    <row r="600" spans="1:13" ht="13" outlineLevel="1" thickBot="1" x14ac:dyDescent="0.3">
      <c r="B600" s="265" t="s">
        <v>31</v>
      </c>
      <c r="C600" s="240">
        <v>1.7932766866335321</v>
      </c>
      <c r="D600" s="240">
        <v>1.9923707930131562</v>
      </c>
      <c r="E600" s="240">
        <v>2.0839601314956591</v>
      </c>
      <c r="F600" s="240">
        <v>2.1233946794216103</v>
      </c>
      <c r="G600" s="240">
        <v>2.258665452736508</v>
      </c>
      <c r="H600" s="240">
        <v>3.6109545828118987</v>
      </c>
      <c r="I600" s="240">
        <v>4.5845098125838586</v>
      </c>
      <c r="J600" s="260">
        <v>5.806699215184465</v>
      </c>
    </row>
    <row r="601" spans="1:13" ht="13" outlineLevel="1" thickBot="1" x14ac:dyDescent="0.3">
      <c r="B601" s="265" t="s">
        <v>32</v>
      </c>
      <c r="C601" s="240">
        <v>1.6703900056515029</v>
      </c>
      <c r="D601" s="240">
        <v>1.8541232769083733</v>
      </c>
      <c r="E601" s="240">
        <v>1.9380321978294999</v>
      </c>
      <c r="F601" s="240">
        <v>1.969786328194074</v>
      </c>
      <c r="G601" s="240">
        <v>2.0666550137020869</v>
      </c>
      <c r="H601" s="240">
        <v>3.3421399681637092</v>
      </c>
      <c r="I601" s="240">
        <v>4.2772931101287845</v>
      </c>
      <c r="J601" s="260">
        <v>5.4610804249225078</v>
      </c>
    </row>
    <row r="602" spans="1:13" ht="13" outlineLevel="1" thickBot="1" x14ac:dyDescent="0.3">
      <c r="B602" s="265" t="s">
        <v>33</v>
      </c>
      <c r="C602" s="240">
        <v>1.7015964651850179</v>
      </c>
      <c r="D602" s="240">
        <v>1.8892305438835779</v>
      </c>
      <c r="E602" s="240">
        <v>1.9750898685255494</v>
      </c>
      <c r="F602" s="240">
        <v>2.0087944026109681</v>
      </c>
      <c r="G602" s="240">
        <v>2.1154151067232059</v>
      </c>
      <c r="H602" s="240">
        <v>3.4104040983932751</v>
      </c>
      <c r="I602" s="240">
        <v>4.3553092589625733</v>
      </c>
      <c r="J602" s="260">
        <v>5.5488485923605193</v>
      </c>
    </row>
    <row r="603" spans="1:13" ht="13" outlineLevel="1" thickBot="1" x14ac:dyDescent="0.3">
      <c r="B603" s="210" t="s">
        <v>34</v>
      </c>
      <c r="C603" s="263">
        <v>1.7004260041192452</v>
      </c>
      <c r="D603" s="263">
        <v>1.8879137751845836</v>
      </c>
      <c r="E603" s="263">
        <v>1.973699946009944</v>
      </c>
      <c r="F603" s="263">
        <v>2.0073313262787518</v>
      </c>
      <c r="G603" s="263">
        <v>2.113586261307935</v>
      </c>
      <c r="H603" s="263">
        <v>3.407843714811897</v>
      </c>
      <c r="I603" s="263">
        <v>4.3523831062981415</v>
      </c>
      <c r="J603" s="264">
        <v>5.545556670613033</v>
      </c>
    </row>
    <row r="604" spans="1:13" ht="13" outlineLevel="1" thickBot="1" x14ac:dyDescent="0.3">
      <c r="B604" s="210" t="s">
        <v>4</v>
      </c>
      <c r="C604" s="263">
        <v>1.984718598438834</v>
      </c>
      <c r="D604" s="263">
        <v>2.2077429437941216</v>
      </c>
      <c r="E604" s="263">
        <v>2.3112974017644556</v>
      </c>
      <c r="F604" s="263">
        <v>2.3626970691782381</v>
      </c>
      <c r="G604" s="263">
        <v>2.5577934399322926</v>
      </c>
      <c r="H604" s="263">
        <v>4.0297337648859974</v>
      </c>
      <c r="I604" s="263">
        <v>5.063114592097115</v>
      </c>
      <c r="J604" s="264">
        <v>6.3451295921368764</v>
      </c>
    </row>
    <row r="605" spans="1:13" ht="13" outlineLevel="1" thickBot="1" x14ac:dyDescent="0.3">
      <c r="B605" s="210" t="s">
        <v>35</v>
      </c>
      <c r="C605" s="263">
        <v>1.9877883511805321</v>
      </c>
      <c r="D605" s="263">
        <v>2.2100305793750628</v>
      </c>
      <c r="E605" s="263">
        <v>2.3128238524995637</v>
      </c>
      <c r="F605" s="263">
        <v>2.3610365308555785</v>
      </c>
      <c r="G605" s="263">
        <v>2.5373187950968514</v>
      </c>
      <c r="H605" s="263">
        <v>4.0219447481154864</v>
      </c>
      <c r="I605" s="263">
        <v>5.0755014435327546</v>
      </c>
      <c r="J605" s="264">
        <v>6.3892566919102336</v>
      </c>
      <c r="M605" s="287"/>
    </row>
    <row r="606" spans="1:13" ht="12.65" customHeight="1" outlineLevel="1" x14ac:dyDescent="0.25">
      <c r="B606" s="297" t="s">
        <v>569</v>
      </c>
      <c r="C606" s="297"/>
      <c r="D606" s="297"/>
      <c r="E606" s="297"/>
      <c r="F606" s="297"/>
      <c r="G606" s="297"/>
      <c r="H606" s="297"/>
      <c r="I606" s="297"/>
      <c r="J606" s="297"/>
    </row>
    <row r="608" spans="1:13" ht="15" customHeight="1" thickBot="1" x14ac:dyDescent="0.3">
      <c r="A608" s="261" t="s">
        <v>571</v>
      </c>
      <c r="C608" s="261"/>
      <c r="D608" s="261"/>
      <c r="E608" s="261"/>
      <c r="F608" s="261"/>
      <c r="G608" s="261"/>
      <c r="H608" s="261"/>
    </row>
    <row r="609" spans="2:8" ht="13" outlineLevel="1" thickBot="1" x14ac:dyDescent="0.3">
      <c r="B609" s="212" t="s">
        <v>568</v>
      </c>
      <c r="C609" s="259" t="s">
        <v>70</v>
      </c>
      <c r="D609" s="259" t="s">
        <v>71</v>
      </c>
      <c r="E609" s="259" t="s">
        <v>72</v>
      </c>
      <c r="F609" s="259" t="s">
        <v>73</v>
      </c>
      <c r="G609" s="259" t="s">
        <v>74</v>
      </c>
      <c r="H609" s="259" t="s">
        <v>75</v>
      </c>
    </row>
    <row r="610" spans="2:8" ht="13" outlineLevel="1" thickBot="1" x14ac:dyDescent="0.3">
      <c r="B610" s="210" t="s">
        <v>22</v>
      </c>
      <c r="C610" s="263">
        <v>2.5915585711034055</v>
      </c>
      <c r="D610" s="263">
        <v>2.9259936287652248</v>
      </c>
      <c r="E610" s="263">
        <v>3.0929290047986826</v>
      </c>
      <c r="F610" s="263">
        <v>3.1682790624254311</v>
      </c>
      <c r="G610" s="263">
        <v>3.7202569340683298</v>
      </c>
      <c r="H610" s="263">
        <v>6.0991713746912453</v>
      </c>
    </row>
    <row r="611" spans="2:8" ht="13" outlineLevel="1" thickBot="1" x14ac:dyDescent="0.3">
      <c r="B611" s="210" t="s">
        <v>23</v>
      </c>
      <c r="C611" s="263">
        <v>2.608592817709396</v>
      </c>
      <c r="D611" s="263">
        <v>2.9451571561969634</v>
      </c>
      <c r="E611" s="263">
        <v>3.1131571726432949</v>
      </c>
      <c r="F611" s="263">
        <v>3.1895718706829195</v>
      </c>
      <c r="G611" s="263">
        <v>3.7468729443901889</v>
      </c>
      <c r="H611" s="263">
        <v>6.136433789141849</v>
      </c>
    </row>
    <row r="612" spans="2:8" ht="13" outlineLevel="1" thickBot="1" x14ac:dyDescent="0.3">
      <c r="B612" s="210" t="s">
        <v>24</v>
      </c>
      <c r="C612" s="263">
        <v>2.5337336927193799</v>
      </c>
      <c r="D612" s="263">
        <v>2.8609406405831961</v>
      </c>
      <c r="E612" s="263">
        <v>3.0242619617176509</v>
      </c>
      <c r="F612" s="263">
        <v>3.0959979644453992</v>
      </c>
      <c r="G612" s="263">
        <v>3.6299055615932891</v>
      </c>
      <c r="H612" s="263">
        <v>5.9726794532261884</v>
      </c>
    </row>
    <row r="613" spans="2:8" ht="13" outlineLevel="1" thickBot="1" x14ac:dyDescent="0.3">
      <c r="B613" s="265" t="s">
        <v>25</v>
      </c>
      <c r="C613" s="240">
        <v>2.5847538463193809</v>
      </c>
      <c r="D613" s="240">
        <v>2.9183383133831957</v>
      </c>
      <c r="E613" s="240">
        <v>3.084848394117651</v>
      </c>
      <c r="F613" s="240">
        <v>3.1597731564453988</v>
      </c>
      <c r="G613" s="240">
        <v>3.7096245515932891</v>
      </c>
      <c r="H613" s="240">
        <v>6.0842860392261873</v>
      </c>
    </row>
    <row r="614" spans="2:8" ht="13" outlineLevel="1" thickBot="1" x14ac:dyDescent="0.3">
      <c r="B614" s="265" t="s">
        <v>26</v>
      </c>
      <c r="C614" s="240">
        <v>2.673957258802715</v>
      </c>
      <c r="D614" s="240">
        <v>3.0186921524269477</v>
      </c>
      <c r="E614" s="240">
        <v>3.190777446441611</v>
      </c>
      <c r="F614" s="240">
        <v>3.2712774220495677</v>
      </c>
      <c r="G614" s="240">
        <v>3.8490048835984991</v>
      </c>
      <c r="H614" s="240">
        <v>6.2794185040334822</v>
      </c>
    </row>
    <row r="615" spans="2:8" ht="13" outlineLevel="1" thickBot="1" x14ac:dyDescent="0.3">
      <c r="B615" s="265" t="s">
        <v>27</v>
      </c>
      <c r="C615" s="240">
        <v>2.8288001565773722</v>
      </c>
      <c r="D615" s="240">
        <v>3.192890412423437</v>
      </c>
      <c r="E615" s="240">
        <v>3.3746533875490163</v>
      </c>
      <c r="F615" s="240">
        <v>3.4648310442678887</v>
      </c>
      <c r="G615" s="240">
        <v>4.0909469113714003</v>
      </c>
      <c r="H615" s="240">
        <v>6.6181373429155439</v>
      </c>
    </row>
    <row r="616" spans="2:8" ht="13" outlineLevel="1" thickBot="1" x14ac:dyDescent="0.3">
      <c r="B616" s="210" t="s">
        <v>28</v>
      </c>
      <c r="C616" s="263">
        <v>2.6527372201967245</v>
      </c>
      <c r="D616" s="263">
        <v>2.9948196089952086</v>
      </c>
      <c r="E616" s="263">
        <v>3.1655786505969976</v>
      </c>
      <c r="F616" s="263">
        <v>3.24475237379208</v>
      </c>
      <c r="G616" s="263">
        <v>3.8158485732766394</v>
      </c>
      <c r="H616" s="263">
        <v>6.2329996695828802</v>
      </c>
    </row>
    <row r="617" spans="2:8" ht="13" outlineLevel="1" thickBot="1" x14ac:dyDescent="0.3">
      <c r="B617" s="210" t="s">
        <v>29</v>
      </c>
      <c r="C617" s="263">
        <v>2.6406112803090491</v>
      </c>
      <c r="D617" s="263">
        <v>2.981177926621573</v>
      </c>
      <c r="E617" s="263">
        <v>3.1511790969803832</v>
      </c>
      <c r="F617" s="263">
        <v>3.2295949489324851</v>
      </c>
      <c r="G617" s="263">
        <v>3.7969017922021457</v>
      </c>
      <c r="H617" s="263">
        <v>6.2064741760785891</v>
      </c>
    </row>
    <row r="618" spans="2:8" ht="13" outlineLevel="1" thickBot="1" x14ac:dyDescent="0.3">
      <c r="B618" s="210" t="s">
        <v>30</v>
      </c>
      <c r="C618" s="263">
        <v>2.8187542557773715</v>
      </c>
      <c r="D618" s="263">
        <v>3.1815887740234365</v>
      </c>
      <c r="E618" s="263">
        <v>3.3627238803490167</v>
      </c>
      <c r="F618" s="263">
        <v>3.452273668267889</v>
      </c>
      <c r="G618" s="263">
        <v>4.0752501913714001</v>
      </c>
      <c r="H618" s="263">
        <v>6.5961619349155445</v>
      </c>
    </row>
    <row r="619" spans="2:8" ht="13" outlineLevel="1" thickBot="1" x14ac:dyDescent="0.3">
      <c r="B619" s="265" t="s">
        <v>31</v>
      </c>
      <c r="C619" s="240">
        <v>2.5656066607034056</v>
      </c>
      <c r="D619" s="240">
        <v>2.8967977295652254</v>
      </c>
      <c r="E619" s="240">
        <v>3.0621111111986825</v>
      </c>
      <c r="F619" s="240">
        <v>3.1358391744254317</v>
      </c>
      <c r="G619" s="240">
        <v>3.6797070740683293</v>
      </c>
      <c r="H619" s="240">
        <v>6.0424015706912444</v>
      </c>
    </row>
    <row r="620" spans="2:8" ht="13" outlineLevel="1" thickBot="1" x14ac:dyDescent="0.3">
      <c r="B620" s="265" t="s">
        <v>32</v>
      </c>
      <c r="C620" s="240">
        <v>2.4427199797213763</v>
      </c>
      <c r="D620" s="240">
        <v>2.7585502134604423</v>
      </c>
      <c r="E620" s="240">
        <v>2.9161831775325222</v>
      </c>
      <c r="F620" s="240">
        <v>2.9822308231978942</v>
      </c>
      <c r="G620" s="240">
        <v>3.4876966350339087</v>
      </c>
      <c r="H620" s="240">
        <v>5.7735869560430571</v>
      </c>
    </row>
    <row r="621" spans="2:8" ht="13" outlineLevel="1" thickBot="1" x14ac:dyDescent="0.3">
      <c r="B621" s="265" t="s">
        <v>33</v>
      </c>
      <c r="C621" s="240">
        <v>2.4739264392548921</v>
      </c>
      <c r="D621" s="240">
        <v>2.7936574804356469</v>
      </c>
      <c r="E621" s="240">
        <v>2.9532408482285715</v>
      </c>
      <c r="F621" s="240">
        <v>3.021238897614789</v>
      </c>
      <c r="G621" s="240">
        <v>3.5364567280550263</v>
      </c>
      <c r="H621" s="240">
        <v>5.841851086272623</v>
      </c>
    </row>
    <row r="622" spans="2:8" ht="13" outlineLevel="1" thickBot="1" x14ac:dyDescent="0.3">
      <c r="B622" s="210" t="s">
        <v>34</v>
      </c>
      <c r="C622" s="263">
        <v>2.4727559781891193</v>
      </c>
      <c r="D622" s="263">
        <v>2.7923407117366525</v>
      </c>
      <c r="E622" s="263">
        <v>2.9518509257129657</v>
      </c>
      <c r="F622" s="263">
        <v>3.0197758212825736</v>
      </c>
      <c r="G622" s="263">
        <v>3.5346278826397564</v>
      </c>
      <c r="H622" s="263">
        <v>5.8392907026912448</v>
      </c>
    </row>
    <row r="623" spans="2:8" ht="13" outlineLevel="1" thickBot="1" x14ac:dyDescent="0.3">
      <c r="B623" s="210" t="s">
        <v>4</v>
      </c>
      <c r="C623" s="263">
        <v>2.7570485725087082</v>
      </c>
      <c r="D623" s="263">
        <v>3.1121698803461908</v>
      </c>
      <c r="E623" s="263">
        <v>3.2894483814674778</v>
      </c>
      <c r="F623" s="263">
        <v>3.3751415641820599</v>
      </c>
      <c r="G623" s="263">
        <v>3.9788350612641143</v>
      </c>
      <c r="H623" s="263">
        <v>6.4611807527653431</v>
      </c>
    </row>
    <row r="624" spans="2:8" ht="13" outlineLevel="1" thickBot="1" x14ac:dyDescent="0.3">
      <c r="B624" s="210" t="s">
        <v>35</v>
      </c>
      <c r="C624" s="263">
        <v>2.671772176309049</v>
      </c>
      <c r="D624" s="263">
        <v>3.0162339346215727</v>
      </c>
      <c r="E624" s="263">
        <v>3.1881826609803836</v>
      </c>
      <c r="F624" s="263">
        <v>3.2685460689324852</v>
      </c>
      <c r="G624" s="263">
        <v>3.8455906922021459</v>
      </c>
      <c r="H624" s="263">
        <v>6.2746386360785893</v>
      </c>
    </row>
    <row r="625" spans="1:10" ht="12.65" customHeight="1" outlineLevel="1" x14ac:dyDescent="0.25">
      <c r="B625" s="297" t="s">
        <v>569</v>
      </c>
      <c r="C625" s="297"/>
      <c r="D625" s="297"/>
      <c r="E625" s="297"/>
      <c r="F625" s="297"/>
      <c r="G625" s="297"/>
      <c r="H625" s="297"/>
    </row>
    <row r="627" spans="1:10" ht="15" customHeight="1" thickBot="1" x14ac:dyDescent="0.3">
      <c r="A627" s="215" t="s">
        <v>576</v>
      </c>
      <c r="C627" s="215"/>
      <c r="D627" s="215"/>
      <c r="E627" s="215"/>
      <c r="F627" s="215"/>
      <c r="G627" s="215"/>
      <c r="H627" s="215"/>
      <c r="I627" s="215"/>
      <c r="J627" s="215"/>
    </row>
    <row r="628" spans="1:10" ht="13" outlineLevel="1" thickBot="1" x14ac:dyDescent="0.3">
      <c r="B628" s="212" t="s">
        <v>572</v>
      </c>
      <c r="C628" s="259" t="s">
        <v>70</v>
      </c>
      <c r="D628" s="259" t="s">
        <v>71</v>
      </c>
      <c r="E628" s="259" t="s">
        <v>72</v>
      </c>
      <c r="F628" s="259" t="s">
        <v>73</v>
      </c>
      <c r="G628" s="259" t="s">
        <v>74</v>
      </c>
      <c r="H628" s="259" t="s">
        <v>75</v>
      </c>
      <c r="I628" s="259" t="s">
        <v>76</v>
      </c>
      <c r="J628" s="259" t="s">
        <v>272</v>
      </c>
    </row>
    <row r="629" spans="1:10" ht="13" outlineLevel="1" thickBot="1" x14ac:dyDescent="0.3">
      <c r="B629" s="210" t="s">
        <v>573</v>
      </c>
      <c r="C629" s="240">
        <v>1.5978840912904515</v>
      </c>
      <c r="D629" s="240">
        <v>1.7724764008352922</v>
      </c>
      <c r="E629" s="240">
        <v>1.8517901658160405</v>
      </c>
      <c r="F629" s="240">
        <v>1.878787419959441</v>
      </c>
      <c r="G629" s="240">
        <v>1.9516797802799881</v>
      </c>
      <c r="H629" s="193" t="s">
        <v>119</v>
      </c>
      <c r="I629" s="193" t="s">
        <v>119</v>
      </c>
      <c r="J629" s="193" t="s">
        <v>119</v>
      </c>
    </row>
    <row r="630" spans="1:10" ht="13" outlineLevel="1" thickBot="1" x14ac:dyDescent="0.3">
      <c r="B630" s="210" t="s">
        <v>574</v>
      </c>
      <c r="C630" s="240">
        <v>2.3643243220975676</v>
      </c>
      <c r="D630" s="240">
        <v>2.6703550986336575</v>
      </c>
      <c r="E630" s="193" t="s">
        <v>119</v>
      </c>
      <c r="F630" s="193" t="s">
        <v>119</v>
      </c>
      <c r="G630" s="193" t="s">
        <v>119</v>
      </c>
      <c r="H630" s="193" t="s">
        <v>119</v>
      </c>
      <c r="I630" s="193" t="s">
        <v>119</v>
      </c>
      <c r="J630" s="193" t="s">
        <v>119</v>
      </c>
    </row>
    <row r="631" spans="1:10" ht="13" outlineLevel="1" thickBot="1" x14ac:dyDescent="0.3">
      <c r="B631" s="210" t="s">
        <v>575</v>
      </c>
      <c r="C631" s="262">
        <v>0.40669507169122127</v>
      </c>
      <c r="D631" s="262">
        <v>0.47593571343352292</v>
      </c>
      <c r="E631" s="262">
        <v>0.47957863766346942</v>
      </c>
      <c r="F631" s="262">
        <v>0.48190546417853242</v>
      </c>
      <c r="G631" s="262">
        <v>0.48190546417853242</v>
      </c>
      <c r="H631" s="262">
        <v>0.75699545058128592</v>
      </c>
      <c r="I631" s="262">
        <v>1.0527869410596495</v>
      </c>
      <c r="J631" s="262">
        <v>1.4570205803418494</v>
      </c>
    </row>
    <row r="632" spans="1:10" ht="12.65" customHeight="1" outlineLevel="1" x14ac:dyDescent="0.25">
      <c r="B632" s="298" t="s">
        <v>569</v>
      </c>
      <c r="C632" s="298"/>
      <c r="D632" s="298"/>
      <c r="E632" s="298"/>
      <c r="F632" s="298"/>
      <c r="G632" s="298"/>
      <c r="H632" s="298"/>
      <c r="I632" s="298"/>
      <c r="J632" s="298"/>
    </row>
    <row r="634" spans="1:10" ht="15" customHeight="1" thickBot="1" x14ac:dyDescent="0.3">
      <c r="A634" s="215" t="s">
        <v>582</v>
      </c>
      <c r="C634" s="215"/>
      <c r="D634" s="215"/>
      <c r="E634" s="215"/>
      <c r="F634" s="215"/>
      <c r="G634" s="215"/>
    </row>
    <row r="635" spans="1:10" ht="13" outlineLevel="1" thickBot="1" x14ac:dyDescent="0.3">
      <c r="B635" s="278" t="s">
        <v>577</v>
      </c>
      <c r="C635" s="279" t="s">
        <v>578</v>
      </c>
      <c r="D635" s="279" t="s">
        <v>579</v>
      </c>
      <c r="E635" s="279" t="s">
        <v>76</v>
      </c>
      <c r="F635" s="279" t="s">
        <v>580</v>
      </c>
      <c r="G635" s="279" t="s">
        <v>581</v>
      </c>
    </row>
    <row r="636" spans="1:10" ht="13" outlineLevel="1" thickBot="1" x14ac:dyDescent="0.3">
      <c r="B636" s="210" t="s">
        <v>22</v>
      </c>
      <c r="C636" s="263">
        <v>2.4247722691568034</v>
      </c>
      <c r="D636" s="263">
        <v>2.8726803183204486</v>
      </c>
      <c r="E636" s="263">
        <v>3.0173508907621298</v>
      </c>
      <c r="F636" s="263">
        <v>3.2113837556178844</v>
      </c>
      <c r="G636" s="263">
        <v>5.7606138624337726</v>
      </c>
    </row>
    <row r="637" spans="1:10" ht="13" outlineLevel="1" thickBot="1" x14ac:dyDescent="0.3">
      <c r="B637" s="210" t="s">
        <v>23</v>
      </c>
      <c r="C637" s="263">
        <v>2.4524529198915377</v>
      </c>
      <c r="D637" s="263">
        <v>2.9110073731839265</v>
      </c>
      <c r="E637" s="263">
        <v>3.0599365072771061</v>
      </c>
      <c r="F637" s="263">
        <v>3.2571632933714829</v>
      </c>
      <c r="G637" s="263">
        <v>5.8085226810131205</v>
      </c>
    </row>
    <row r="638" spans="1:10" ht="13" outlineLevel="1" thickBot="1" x14ac:dyDescent="0.3">
      <c r="B638" s="210" t="s">
        <v>24</v>
      </c>
      <c r="C638" s="263">
        <v>2.3308068417827608</v>
      </c>
      <c r="D638" s="263">
        <v>2.7425743419563902</v>
      </c>
      <c r="E638" s="263">
        <v>2.8727886948020651</v>
      </c>
      <c r="F638" s="263">
        <v>3.0559793949608141</v>
      </c>
      <c r="G638" s="263">
        <v>5.5979813919786992</v>
      </c>
    </row>
    <row r="639" spans="1:10" ht="13" outlineLevel="1" thickBot="1" x14ac:dyDescent="0.3">
      <c r="B639" s="265" t="s">
        <v>25</v>
      </c>
      <c r="C639" s="240">
        <v>2.4137145913827607</v>
      </c>
      <c r="D639" s="240">
        <v>2.8573696875563903</v>
      </c>
      <c r="E639" s="240">
        <v>3.0003390788020647</v>
      </c>
      <c r="F639" s="240">
        <v>3.1930960577608141</v>
      </c>
      <c r="G639" s="240">
        <v>5.7414755739786996</v>
      </c>
    </row>
    <row r="640" spans="1:10" ht="13" outlineLevel="1" thickBot="1" x14ac:dyDescent="0.3">
      <c r="B640" s="265" t="s">
        <v>26</v>
      </c>
      <c r="C640" s="240">
        <v>2.5586701366681806</v>
      </c>
      <c r="D640" s="240">
        <v>3.0580773656438942</v>
      </c>
      <c r="E640" s="240">
        <v>3.223347610010403</v>
      </c>
      <c r="F640" s="240">
        <v>3.4328302288097765</v>
      </c>
      <c r="G640" s="240">
        <v>5.9923601715880768</v>
      </c>
    </row>
    <row r="641" spans="1:10" ht="13" outlineLevel="1" thickBot="1" x14ac:dyDescent="0.3">
      <c r="B641" s="265" t="s">
        <v>27</v>
      </c>
      <c r="C641" s="240">
        <v>2.8102898455519973</v>
      </c>
      <c r="D641" s="240">
        <v>3.4064738856368724</v>
      </c>
      <c r="E641" s="240">
        <v>3.6104548544470454</v>
      </c>
      <c r="F641" s="240">
        <v>3.848970516579167</v>
      </c>
      <c r="G641" s="240">
        <v>6.4278558215792998</v>
      </c>
    </row>
    <row r="642" spans="1:10" ht="13" outlineLevel="1" thickBot="1" x14ac:dyDescent="0.3">
      <c r="B642" s="210" t="s">
        <v>28</v>
      </c>
      <c r="C642" s="263">
        <v>2.5241875739334465</v>
      </c>
      <c r="D642" s="263">
        <v>3.0103322787804152</v>
      </c>
      <c r="E642" s="263">
        <v>3.1702975134954272</v>
      </c>
      <c r="F642" s="263">
        <v>3.3758013750561786</v>
      </c>
      <c r="G642" s="263">
        <v>5.9326788130087307</v>
      </c>
    </row>
    <row r="643" spans="1:10" ht="13" outlineLevel="1" thickBot="1" x14ac:dyDescent="0.3">
      <c r="B643" s="210" t="s">
        <v>29</v>
      </c>
      <c r="C643" s="263">
        <v>2.5044829216159736</v>
      </c>
      <c r="D643" s="263">
        <v>2.9830489140331453</v>
      </c>
      <c r="E643" s="263">
        <v>3.1399826637762382</v>
      </c>
      <c r="F643" s="263">
        <v>3.3432129116080502</v>
      </c>
      <c r="G643" s="263">
        <v>5.8985746070746439</v>
      </c>
    </row>
    <row r="644" spans="1:10" ht="13" outlineLevel="1" thickBot="1" x14ac:dyDescent="0.3">
      <c r="B644" s="210" t="s">
        <v>30</v>
      </c>
      <c r="C644" s="263">
        <v>2.7939652567519979</v>
      </c>
      <c r="D644" s="263">
        <v>3.383870608836872</v>
      </c>
      <c r="E644" s="263">
        <v>3.5853401024470455</v>
      </c>
      <c r="F644" s="263">
        <v>3.8219721581791672</v>
      </c>
      <c r="G644" s="263">
        <v>6.3996017255793012</v>
      </c>
    </row>
    <row r="645" spans="1:10" ht="13" outlineLevel="1" thickBot="1" x14ac:dyDescent="0.3">
      <c r="B645" s="265" t="s">
        <v>31</v>
      </c>
      <c r="C645" s="240">
        <v>2.3826004147568032</v>
      </c>
      <c r="D645" s="240">
        <v>2.8142885199204488</v>
      </c>
      <c r="E645" s="240">
        <v>2.9524711147621296</v>
      </c>
      <c r="F645" s="240">
        <v>3.1416379964178844</v>
      </c>
      <c r="G645" s="240">
        <v>5.6876241144337731</v>
      </c>
    </row>
    <row r="646" spans="1:10" ht="13" outlineLevel="1" thickBot="1" x14ac:dyDescent="0.3">
      <c r="B646" s="265" t="s">
        <v>32</v>
      </c>
      <c r="C646" s="240">
        <v>2.1829095581610058</v>
      </c>
      <c r="D646" s="240">
        <v>2.537793487710883</v>
      </c>
      <c r="E646" s="240">
        <v>2.6452544123070565</v>
      </c>
      <c r="F646" s="240">
        <v>2.8113800412786798</v>
      </c>
      <c r="G646" s="240">
        <v>5.3420053241718159</v>
      </c>
    </row>
    <row r="647" spans="1:10" ht="13" outlineLevel="1" thickBot="1" x14ac:dyDescent="0.3">
      <c r="B647" s="265" t="s">
        <v>33</v>
      </c>
      <c r="C647" s="240">
        <v>2.2336200549029686</v>
      </c>
      <c r="D647" s="240">
        <v>2.6080080216612922</v>
      </c>
      <c r="E647" s="240">
        <v>2.7232705611408456</v>
      </c>
      <c r="F647" s="240">
        <v>2.8952474012750034</v>
      </c>
      <c r="G647" s="240">
        <v>5.4297734916098266</v>
      </c>
    </row>
    <row r="648" spans="1:10" ht="13" outlineLevel="1" thickBot="1" x14ac:dyDescent="0.3">
      <c r="B648" s="210" t="s">
        <v>34</v>
      </c>
      <c r="C648" s="263">
        <v>2.2317180556710881</v>
      </c>
      <c r="D648" s="263">
        <v>2.6053744842633035</v>
      </c>
      <c r="E648" s="263">
        <v>2.720344408476413</v>
      </c>
      <c r="F648" s="263">
        <v>2.8921017871607382</v>
      </c>
      <c r="G648" s="263">
        <v>5.4264815698623403</v>
      </c>
    </row>
    <row r="649" spans="1:10" ht="13" outlineLevel="1" thickBot="1" x14ac:dyDescent="0.3">
      <c r="B649" s="210" t="s">
        <v>4</v>
      </c>
      <c r="C649" s="263">
        <v>2.6936935214404198</v>
      </c>
      <c r="D649" s="263">
        <v>3.2450328214823796</v>
      </c>
      <c r="E649" s="263">
        <v>3.431075894275387</v>
      </c>
      <c r="F649" s="263">
        <v>3.6561381343946344</v>
      </c>
      <c r="G649" s="263">
        <v>6.2260544913861828</v>
      </c>
    </row>
    <row r="650" spans="1:10" ht="13" outlineLevel="1" thickBot="1" x14ac:dyDescent="0.3">
      <c r="B650" s="210" t="s">
        <v>35</v>
      </c>
      <c r="C650" s="263">
        <v>2.6739621393655537</v>
      </c>
      <c r="D650" s="263">
        <v>3.1951684151509663</v>
      </c>
      <c r="E650" s="263">
        <v>3.3675539690681551</v>
      </c>
      <c r="F650" s="263">
        <v>3.5863512065665639</v>
      </c>
      <c r="G650" s="263">
        <v>6.2646432143804391</v>
      </c>
    </row>
    <row r="651" spans="1:10" ht="12.65" customHeight="1" outlineLevel="1" x14ac:dyDescent="0.25">
      <c r="B651" s="297" t="s">
        <v>569</v>
      </c>
      <c r="C651" s="297"/>
      <c r="D651" s="297"/>
      <c r="E651" s="297"/>
      <c r="F651" s="297"/>
      <c r="G651" s="297"/>
    </row>
    <row r="653" spans="1:10" ht="15.65" customHeight="1" thickBot="1" x14ac:dyDescent="0.3">
      <c r="A653" s="215" t="s">
        <v>583</v>
      </c>
      <c r="C653" s="215"/>
      <c r="D653" s="215"/>
      <c r="E653" s="215"/>
      <c r="F653" s="215"/>
      <c r="G653" s="215"/>
      <c r="H653" s="215"/>
      <c r="I653" s="215"/>
      <c r="J653" s="215"/>
    </row>
    <row r="654" spans="1:10" ht="13" outlineLevel="1" thickBot="1" x14ac:dyDescent="0.3">
      <c r="B654" s="212" t="s">
        <v>509</v>
      </c>
      <c r="C654" s="259" t="s">
        <v>70</v>
      </c>
      <c r="D654" s="259" t="s">
        <v>71</v>
      </c>
      <c r="E654" s="259" t="s">
        <v>72</v>
      </c>
      <c r="F654" s="259" t="s">
        <v>73</v>
      </c>
      <c r="G654" s="259" t="s">
        <v>74</v>
      </c>
      <c r="H654" s="259" t="s">
        <v>75</v>
      </c>
      <c r="I654" s="259" t="s">
        <v>76</v>
      </c>
      <c r="J654" s="259" t="s">
        <v>272</v>
      </c>
    </row>
    <row r="655" spans="1:10" ht="30" customHeight="1" outlineLevel="1" thickBot="1" x14ac:dyDescent="0.3">
      <c r="B655" s="225" t="s">
        <v>584</v>
      </c>
      <c r="C655" s="268">
        <v>1.3189067113081276</v>
      </c>
      <c r="D655" s="268">
        <v>1.5282167801215489</v>
      </c>
      <c r="E655" s="268">
        <v>1.7183473677122747</v>
      </c>
      <c r="F655" s="268">
        <v>1.9083993659340395</v>
      </c>
      <c r="G655" s="268">
        <v>2.239565819680903</v>
      </c>
      <c r="H655" s="268">
        <v>3.5580987490368203</v>
      </c>
      <c r="I655" s="268">
        <v>5.4813848691690632</v>
      </c>
      <c r="J655" s="268">
        <v>18.368898669036543</v>
      </c>
    </row>
    <row r="656" spans="1:10" ht="30" customHeight="1" outlineLevel="1" thickBot="1" x14ac:dyDescent="0.3">
      <c r="B656" s="266" t="s">
        <v>586</v>
      </c>
      <c r="C656" s="268">
        <v>1.8155685887403161</v>
      </c>
      <c r="D656" s="268">
        <v>2.1145754259303202</v>
      </c>
      <c r="E656" s="268">
        <v>2.3874809060616862</v>
      </c>
      <c r="F656" s="268">
        <v>2.6594877579980989</v>
      </c>
      <c r="G656" s="268">
        <v>3.1585995529865207</v>
      </c>
      <c r="H656" s="268">
        <v>5.144042274649169</v>
      </c>
      <c r="I656" s="268">
        <v>7.6599791353243365</v>
      </c>
      <c r="J656" s="268">
        <v>23.172073825994843</v>
      </c>
    </row>
    <row r="657" spans="1:11" ht="30" customHeight="1" outlineLevel="1" thickBot="1" x14ac:dyDescent="0.3">
      <c r="B657" s="267" t="s">
        <v>587</v>
      </c>
      <c r="C657" s="268">
        <v>2.0492267626227547</v>
      </c>
      <c r="D657" s="268">
        <v>2.3835643737859376</v>
      </c>
      <c r="E657" s="268">
        <v>2.6893285314126363</v>
      </c>
      <c r="F657" s="268">
        <v>2.9899468446232484</v>
      </c>
      <c r="G657" s="268">
        <v>3.5176739470213803</v>
      </c>
      <c r="H657" s="268">
        <v>5.5930678722695726</v>
      </c>
      <c r="I657" s="268">
        <v>8.2991105120417323</v>
      </c>
      <c r="J657" s="268">
        <v>23.978017310904431</v>
      </c>
    </row>
    <row r="658" spans="1:11" ht="30" customHeight="1" outlineLevel="1" thickBot="1" x14ac:dyDescent="0.3">
      <c r="B658" s="267" t="s">
        <v>585</v>
      </c>
      <c r="C658" s="268">
        <v>2.6285057746772904</v>
      </c>
      <c r="D658" s="268">
        <v>3.0461259170710213</v>
      </c>
      <c r="E658" s="268">
        <v>3.4252717129540025</v>
      </c>
      <c r="F658" s="268">
        <v>3.8041449460337011</v>
      </c>
      <c r="G658" s="268">
        <v>4.4651124754206801</v>
      </c>
      <c r="H658" s="268">
        <v>7.0991206564004976</v>
      </c>
      <c r="I658" s="268">
        <v>10.939885232041911</v>
      </c>
      <c r="J658" s="268">
        <v>28.073996671826514</v>
      </c>
    </row>
    <row r="659" spans="1:11" ht="30" customHeight="1" outlineLevel="1" thickBot="1" x14ac:dyDescent="0.3">
      <c r="B659" s="266" t="s">
        <v>588</v>
      </c>
      <c r="C659" s="268">
        <v>3.2765444803280199</v>
      </c>
      <c r="D659" s="268">
        <v>3.7983947713333404</v>
      </c>
      <c r="E659" s="268">
        <v>4.274848839991968</v>
      </c>
      <c r="F659" s="268">
        <v>4.7502103070213231</v>
      </c>
      <c r="G659" s="268">
        <v>5.5936565578848674</v>
      </c>
      <c r="H659" s="268">
        <v>8.9403581105422525</v>
      </c>
      <c r="I659" s="268">
        <v>13.49899042682352</v>
      </c>
      <c r="J659" s="268">
        <v>33.352259369487655</v>
      </c>
    </row>
    <row r="660" spans="1:11" ht="30" customHeight="1" outlineLevel="1" thickBot="1" x14ac:dyDescent="0.3">
      <c r="B660" s="267" t="s">
        <v>589</v>
      </c>
      <c r="C660" s="268">
        <v>4.089145877306545</v>
      </c>
      <c r="D660" s="268">
        <v>4.7568211043997994</v>
      </c>
      <c r="E660" s="268">
        <v>5.3672340403547256</v>
      </c>
      <c r="F660" s="268">
        <v>5.9672399034121186</v>
      </c>
      <c r="G660" s="268">
        <v>7.0213287301016347</v>
      </c>
      <c r="H660" s="268">
        <v>11.169058902866006</v>
      </c>
      <c r="I660" s="268">
        <v>16.575336517787253</v>
      </c>
      <c r="J660" s="268">
        <v>39.292233955562281</v>
      </c>
    </row>
    <row r="661" spans="1:11" ht="12.65" customHeight="1" outlineLevel="1" x14ac:dyDescent="0.25">
      <c r="B661" s="297" t="s">
        <v>569</v>
      </c>
      <c r="C661" s="297"/>
      <c r="D661" s="297"/>
      <c r="E661" s="297"/>
      <c r="F661" s="297"/>
      <c r="G661" s="297"/>
      <c r="H661" s="297"/>
      <c r="I661" s="297"/>
      <c r="J661" s="297"/>
    </row>
    <row r="663" spans="1:11" ht="15.5" thickBot="1" x14ac:dyDescent="0.3">
      <c r="A663" s="215" t="s">
        <v>590</v>
      </c>
      <c r="C663" s="215"/>
      <c r="D663" s="215"/>
      <c r="E663" s="215"/>
      <c r="F663" s="215"/>
      <c r="G663" s="215"/>
      <c r="H663" s="215"/>
      <c r="I663" s="215"/>
      <c r="J663" s="215"/>
      <c r="K663" s="257"/>
    </row>
    <row r="664" spans="1:11" ht="13.75" customHeight="1" outlineLevel="1" thickBot="1" x14ac:dyDescent="0.3">
      <c r="B664" s="212" t="s">
        <v>509</v>
      </c>
      <c r="C664" s="259" t="s">
        <v>70</v>
      </c>
      <c r="D664" s="259" t="s">
        <v>71</v>
      </c>
      <c r="E664" s="259" t="s">
        <v>72</v>
      </c>
      <c r="F664" s="259" t="s">
        <v>73</v>
      </c>
      <c r="G664" s="259" t="s">
        <v>74</v>
      </c>
      <c r="H664" s="259" t="s">
        <v>75</v>
      </c>
      <c r="I664" s="259" t="s">
        <v>76</v>
      </c>
      <c r="J664" s="212" t="s">
        <v>272</v>
      </c>
      <c r="K664" s="217"/>
    </row>
    <row r="665" spans="1:11" ht="30" customHeight="1" outlineLevel="1" thickBot="1" x14ac:dyDescent="0.3">
      <c r="B665" s="267" t="s">
        <v>591</v>
      </c>
      <c r="C665" s="268">
        <v>9.141286736438115</v>
      </c>
      <c r="D665" s="268">
        <v>10.162960783431277</v>
      </c>
      <c r="E665" s="268">
        <v>11.126755619149982</v>
      </c>
      <c r="F665" s="268">
        <v>12.074180789311688</v>
      </c>
      <c r="G665" s="268">
        <v>13.582807814188712</v>
      </c>
      <c r="H665" s="268">
        <v>19.92339090781271</v>
      </c>
      <c r="I665" s="268">
        <v>28.919142753643772</v>
      </c>
      <c r="J665" s="268">
        <v>56.041851277378299</v>
      </c>
      <c r="K665" s="270"/>
    </row>
    <row r="666" spans="1:11" ht="30" customHeight="1" outlineLevel="1" thickBot="1" x14ac:dyDescent="0.3">
      <c r="B666" s="267" t="s">
        <v>593</v>
      </c>
      <c r="C666" s="268">
        <v>11.013027258149039</v>
      </c>
      <c r="D666" s="268">
        <v>12.325990682222058</v>
      </c>
      <c r="E666" s="268">
        <v>13.563809364788263</v>
      </c>
      <c r="F666" s="268">
        <v>14.783707876368066</v>
      </c>
      <c r="G666" s="268">
        <v>16.762001519184636</v>
      </c>
      <c r="H666" s="268">
        <v>24.774432394566308</v>
      </c>
      <c r="I666" s="268">
        <v>36.167545981511694</v>
      </c>
      <c r="J666" s="268">
        <v>69.370044555237541</v>
      </c>
      <c r="K666" s="270"/>
    </row>
    <row r="667" spans="1:11" ht="30" customHeight="1" outlineLevel="1" thickBot="1" x14ac:dyDescent="0.3">
      <c r="B667" s="267" t="s">
        <v>594</v>
      </c>
      <c r="C667" s="268">
        <v>12.744102866351485</v>
      </c>
      <c r="D667" s="268">
        <v>14.330413587790488</v>
      </c>
      <c r="E667" s="268">
        <v>15.825263719572945</v>
      </c>
      <c r="F667" s="268">
        <v>17.296306386495889</v>
      </c>
      <c r="G667" s="268">
        <v>19.697729005844923</v>
      </c>
      <c r="H667" s="268">
        <v>29.505714737101354</v>
      </c>
      <c r="I667" s="268">
        <v>43.422478323555062</v>
      </c>
      <c r="J667" s="268">
        <v>83.949013224038353</v>
      </c>
      <c r="K667" s="270"/>
    </row>
    <row r="668" spans="1:11" ht="30" customHeight="1" outlineLevel="1" thickBot="1" x14ac:dyDescent="0.3">
      <c r="B668" s="267" t="s">
        <v>592</v>
      </c>
      <c r="C668" s="268">
        <v>11.513640826184746</v>
      </c>
      <c r="D668" s="268">
        <v>12.88954283912401</v>
      </c>
      <c r="E668" s="268">
        <v>14.176392199646253</v>
      </c>
      <c r="F668" s="268">
        <v>15.459225596406254</v>
      </c>
      <c r="G668" s="268">
        <v>17.585208991039398</v>
      </c>
      <c r="H668" s="268">
        <v>26.036776377085083</v>
      </c>
      <c r="I668" s="268">
        <v>38.284420790843107</v>
      </c>
      <c r="J668" s="268">
        <v>73.466911617717841</v>
      </c>
      <c r="K668" s="270"/>
    </row>
    <row r="669" spans="1:11" ht="30" customHeight="1" outlineLevel="1" thickBot="1" x14ac:dyDescent="0.3">
      <c r="B669" s="267" t="s">
        <v>595</v>
      </c>
      <c r="C669" s="268">
        <v>14.033420053546399</v>
      </c>
      <c r="D669" s="268">
        <v>15.782796788974796</v>
      </c>
      <c r="E669" s="268">
        <v>17.507112678727125</v>
      </c>
      <c r="F669" s="268">
        <v>19.136862847652566</v>
      </c>
      <c r="G669" s="268">
        <v>21.8929467784995</v>
      </c>
      <c r="H669" s="268">
        <v>32.944831790273746</v>
      </c>
      <c r="I669" s="268">
        <v>48.587125306472437</v>
      </c>
      <c r="J669" s="268">
        <v>94.058503258478623</v>
      </c>
      <c r="K669" s="270"/>
    </row>
    <row r="670" spans="1:11" ht="30" customHeight="1" outlineLevel="1" thickBot="1" x14ac:dyDescent="0.3">
      <c r="B670" s="267" t="s">
        <v>596</v>
      </c>
      <c r="C670" s="268">
        <v>16.49481571306347</v>
      </c>
      <c r="D670" s="268">
        <v>18.708701697814568</v>
      </c>
      <c r="E670" s="268">
        <v>20.69545859080754</v>
      </c>
      <c r="F670" s="268">
        <v>22.753053639671915</v>
      </c>
      <c r="G670" s="268">
        <v>26.106782392500275</v>
      </c>
      <c r="H670" s="268">
        <v>39.539396390152874</v>
      </c>
      <c r="I670" s="268">
        <v>58.467297252904373</v>
      </c>
      <c r="J670" s="268">
        <v>113.25402273652709</v>
      </c>
      <c r="K670" s="270"/>
    </row>
    <row r="671" spans="1:11" outlineLevel="1" x14ac:dyDescent="0.25">
      <c r="B671" s="271" t="s">
        <v>569</v>
      </c>
      <c r="C671" s="271"/>
      <c r="D671" s="271"/>
      <c r="E671" s="271"/>
      <c r="F671" s="271"/>
      <c r="G671" s="271"/>
      <c r="H671" s="271"/>
      <c r="I671" s="271"/>
      <c r="J671" s="271"/>
      <c r="K671" s="257"/>
    </row>
    <row r="672" spans="1:11" x14ac:dyDescent="0.25">
      <c r="B672" s="272"/>
      <c r="C672" s="272"/>
      <c r="D672" s="272"/>
      <c r="E672" s="272"/>
      <c r="F672" s="272"/>
      <c r="G672" s="272"/>
      <c r="H672" s="272"/>
      <c r="I672" s="272"/>
      <c r="J672" s="272"/>
      <c r="K672" s="257"/>
    </row>
    <row r="673" spans="1:11" ht="15" customHeight="1" thickBot="1" x14ac:dyDescent="0.3">
      <c r="A673" s="215" t="s">
        <v>636</v>
      </c>
      <c r="C673" s="226"/>
      <c r="D673" s="226"/>
      <c r="E673" s="226"/>
      <c r="F673" s="226"/>
      <c r="G673" s="226"/>
      <c r="H673" s="272"/>
      <c r="I673" s="272"/>
      <c r="J673" s="272"/>
      <c r="K673" s="273"/>
    </row>
    <row r="674" spans="1:11" ht="13" thickBot="1" x14ac:dyDescent="0.3">
      <c r="B674" s="276" t="s">
        <v>509</v>
      </c>
      <c r="C674" s="277" t="s">
        <v>578</v>
      </c>
      <c r="D674" s="277" t="s">
        <v>579</v>
      </c>
      <c r="E674" s="277" t="s">
        <v>76</v>
      </c>
      <c r="F674" s="277" t="s">
        <v>580</v>
      </c>
      <c r="G674" s="277" t="s">
        <v>581</v>
      </c>
      <c r="H674" s="272"/>
      <c r="I674" s="272"/>
      <c r="J674" s="272"/>
      <c r="K674" s="273"/>
    </row>
    <row r="675" spans="1:11" ht="13" thickBot="1" x14ac:dyDescent="0.3">
      <c r="B675" s="269" t="s">
        <v>261</v>
      </c>
      <c r="C675" s="275">
        <v>128.65323287535472</v>
      </c>
      <c r="D675" s="275">
        <v>383.84432409448135</v>
      </c>
      <c r="E675" s="275">
        <v>517.88214668659236</v>
      </c>
      <c r="F675" s="275">
        <v>623.26625971453609</v>
      </c>
      <c r="G675" s="275">
        <v>776.44629874971565</v>
      </c>
      <c r="H675" s="272"/>
      <c r="I675" s="272"/>
      <c r="J675" s="272"/>
      <c r="K675" s="273"/>
    </row>
    <row r="676" spans="1:11" ht="13" thickBot="1" x14ac:dyDescent="0.3">
      <c r="B676" s="269" t="s">
        <v>262</v>
      </c>
      <c r="C676" s="275">
        <v>171.92225738500321</v>
      </c>
      <c r="D676" s="275">
        <v>498.65146912674862</v>
      </c>
      <c r="E676" s="275">
        <v>670.18911296055489</v>
      </c>
      <c r="F676" s="275">
        <v>810.95767269861119</v>
      </c>
      <c r="G676" s="275">
        <v>987.11067914677994</v>
      </c>
    </row>
    <row r="677" spans="1:11" ht="13.4" customHeight="1" x14ac:dyDescent="0.25">
      <c r="B677" s="271" t="s">
        <v>569</v>
      </c>
      <c r="C677" s="271"/>
      <c r="D677" s="271"/>
      <c r="E677" s="271"/>
      <c r="F677" s="271"/>
      <c r="G677" s="271"/>
    </row>
    <row r="678" spans="1:11" x14ac:dyDescent="0.25">
      <c r="F678" s="274"/>
      <c r="G678" s="274"/>
    </row>
  </sheetData>
  <pageMargins left="0.2" right="0.2" top="0.25" bottom="0.5" header="0.3" footer="0.3"/>
  <pageSetup paperSize="3" fitToHeight="30" orientation="landscape" r:id="rId1"/>
  <headerFooter>
    <oddFooter>&amp;CPage &amp;P of &amp;N</oddFooter>
  </headerFooter>
  <rowBreaks count="15" manualBreakCount="15">
    <brk id="84" max="10" man="1"/>
    <brk id="115" max="10" man="1"/>
    <brk id="161" max="10" man="1"/>
    <brk id="207" max="10" man="1"/>
    <brk id="253" max="10" man="1"/>
    <brk id="285" max="10" man="1"/>
    <brk id="328" max="10" man="1"/>
    <brk id="369" max="10" man="1"/>
    <brk id="404" max="10" man="1"/>
    <brk id="445" max="10" man="1"/>
    <brk id="491" max="10" man="1"/>
    <brk id="524" max="10" man="1"/>
    <brk id="571" max="10" man="1"/>
    <brk id="607" max="10" man="1"/>
    <brk id="652"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764DF-08A7-4EEF-BE8C-C4DD0FE158B0}">
  <sheetPr>
    <tabColor theme="3"/>
  </sheetPr>
  <dimension ref="A1:L81"/>
  <sheetViews>
    <sheetView tabSelected="1" zoomScale="90" zoomScaleNormal="90" workbookViewId="0">
      <selection activeCell="H13" sqref="H13"/>
    </sheetView>
  </sheetViews>
  <sheetFormatPr defaultRowHeight="14.5" x14ac:dyDescent="0.35"/>
  <cols>
    <col min="1" max="1" width="35.81640625" customWidth="1"/>
    <col min="2" max="2" width="43.453125" customWidth="1"/>
    <col min="3" max="3" width="2.54296875" customWidth="1"/>
    <col min="4" max="5" width="8.81640625" customWidth="1"/>
    <col min="6" max="6" width="17.81640625" customWidth="1"/>
    <col min="7" max="7" width="10.1796875" customWidth="1"/>
  </cols>
  <sheetData>
    <row r="1" spans="1:4" ht="15.5" x14ac:dyDescent="0.35">
      <c r="A1" s="360" t="s">
        <v>0</v>
      </c>
      <c r="B1" s="360"/>
    </row>
    <row r="2" spans="1:4" ht="15.5" x14ac:dyDescent="0.35">
      <c r="A2" s="360" t="s">
        <v>635</v>
      </c>
      <c r="B2" s="360"/>
    </row>
    <row r="3" spans="1:4" ht="15.5" x14ac:dyDescent="0.35">
      <c r="A3" s="360" t="s">
        <v>599</v>
      </c>
      <c r="B3" s="360"/>
    </row>
    <row r="4" spans="1:4" ht="15.5" x14ac:dyDescent="0.35">
      <c r="A4" s="360" t="s">
        <v>156</v>
      </c>
      <c r="B4" s="360"/>
    </row>
    <row r="5" spans="1:4" ht="15.5" x14ac:dyDescent="0.35">
      <c r="A5" s="361" t="s">
        <v>600</v>
      </c>
      <c r="B5" s="361"/>
    </row>
    <row r="7" spans="1:4" x14ac:dyDescent="0.35">
      <c r="A7" s="82" t="s">
        <v>1</v>
      </c>
      <c r="B7" s="5"/>
    </row>
    <row r="8" spans="1:4" ht="15" thickBot="1" x14ac:dyDescent="0.4"/>
    <row r="9" spans="1:4" ht="15" thickBot="1" x14ac:dyDescent="0.4">
      <c r="A9" s="45"/>
      <c r="B9" s="44" t="s">
        <v>122</v>
      </c>
      <c r="D9" t="s">
        <v>157</v>
      </c>
    </row>
    <row r="10" spans="1:4" ht="20.149999999999999" customHeight="1" x14ac:dyDescent="0.35">
      <c r="A10" s="34" t="s">
        <v>45</v>
      </c>
      <c r="B10" s="73" t="s">
        <v>23</v>
      </c>
      <c r="D10" t="s">
        <v>142</v>
      </c>
    </row>
    <row r="11" spans="1:4" ht="20.149999999999999" customHeight="1" x14ac:dyDescent="0.35">
      <c r="A11" s="34" t="s">
        <v>141</v>
      </c>
      <c r="B11" s="46" t="s">
        <v>77</v>
      </c>
      <c r="D11" t="s">
        <v>142</v>
      </c>
    </row>
    <row r="12" spans="1:4" ht="20.149999999999999" customHeight="1" x14ac:dyDescent="0.35">
      <c r="A12" s="34" t="s">
        <v>123</v>
      </c>
      <c r="B12" s="46" t="s">
        <v>117</v>
      </c>
      <c r="D12" t="s">
        <v>142</v>
      </c>
    </row>
    <row r="13" spans="1:4" ht="20.149999999999999" customHeight="1" x14ac:dyDescent="0.35">
      <c r="A13" s="34" t="s">
        <v>140</v>
      </c>
      <c r="B13" s="46" t="s">
        <v>90</v>
      </c>
      <c r="D13" t="s">
        <v>142</v>
      </c>
    </row>
    <row r="14" spans="1:4" ht="20.149999999999999" customHeight="1" x14ac:dyDescent="0.35">
      <c r="A14" s="36" t="s">
        <v>124</v>
      </c>
      <c r="B14" s="46" t="s">
        <v>75</v>
      </c>
      <c r="D14" t="s">
        <v>142</v>
      </c>
    </row>
    <row r="15" spans="1:4" ht="20.149999999999999" customHeight="1" x14ac:dyDescent="0.35">
      <c r="A15" s="36" t="s">
        <v>48</v>
      </c>
      <c r="B15" s="46">
        <v>100</v>
      </c>
      <c r="D15" t="s">
        <v>158</v>
      </c>
    </row>
    <row r="16" spans="1:4" x14ac:dyDescent="0.35">
      <c r="A16" s="77" t="s">
        <v>655</v>
      </c>
      <c r="B16" s="74">
        <f>IFERROR(INDEX('Exploratory cost data'!G2:R91,MATCH(CONCATENATE(B10,B11,B12,B13),'Exploratory cost data'!E2:E91,0),MATCH('Exploratory cost estimate'!B14,'Exploratory cost data'!G1:R1,0))*B15,"0")</f>
        <v>370.49868012625018</v>
      </c>
      <c r="D16" s="76" t="s">
        <v>654</v>
      </c>
    </row>
    <row r="17" spans="1:4" x14ac:dyDescent="0.35">
      <c r="A17" s="72"/>
      <c r="B17" s="79"/>
      <c r="D17" s="76"/>
    </row>
    <row r="18" spans="1:4" x14ac:dyDescent="0.35">
      <c r="A18" s="72" t="s">
        <v>107</v>
      </c>
      <c r="B18" s="80">
        <f>B16*0.715564</f>
        <v>265.11551754586009</v>
      </c>
      <c r="D18" s="76" t="s">
        <v>610</v>
      </c>
    </row>
    <row r="19" spans="1:4" x14ac:dyDescent="0.35">
      <c r="A19" s="72" t="s">
        <v>12</v>
      </c>
      <c r="B19" s="80">
        <f>B18*0.3</f>
        <v>79.534655263758026</v>
      </c>
      <c r="D19" s="92">
        <f>B19/B18</f>
        <v>0.3</v>
      </c>
    </row>
    <row r="20" spans="1:4" x14ac:dyDescent="0.35">
      <c r="A20" s="72" t="s">
        <v>13</v>
      </c>
      <c r="B20" s="80">
        <f>(B18+B19)*0.075</f>
        <v>25.848762960721356</v>
      </c>
      <c r="D20" s="92">
        <f>B20/(B19+B18)</f>
        <v>7.4999999999999997E-2</v>
      </c>
    </row>
    <row r="21" spans="1:4" ht="15" thickBot="1" x14ac:dyDescent="0.4">
      <c r="A21" s="170" t="s">
        <v>609</v>
      </c>
      <c r="B21" s="81">
        <f>SUM(B18:B20)</f>
        <v>370.49893577033941</v>
      </c>
    </row>
    <row r="22" spans="1:4" ht="15" thickTop="1" x14ac:dyDescent="0.35">
      <c r="A22" s="72"/>
      <c r="B22" s="80"/>
    </row>
    <row r="23" spans="1:4" ht="15" thickBot="1" x14ac:dyDescent="0.4"/>
    <row r="24" spans="1:4" ht="15" thickBot="1" x14ac:dyDescent="0.4">
      <c r="A24" s="45"/>
      <c r="B24" s="42" t="s">
        <v>143</v>
      </c>
      <c r="D24" t="s">
        <v>157</v>
      </c>
    </row>
    <row r="25" spans="1:4" ht="20.149999999999999" customHeight="1" x14ac:dyDescent="0.35">
      <c r="A25" s="34" t="s">
        <v>139</v>
      </c>
      <c r="B25" s="73" t="s">
        <v>126</v>
      </c>
      <c r="D25" t="s">
        <v>142</v>
      </c>
    </row>
    <row r="26" spans="1:4" ht="20.149999999999999" customHeight="1" thickBot="1" x14ac:dyDescent="0.4">
      <c r="A26" s="36" t="s">
        <v>124</v>
      </c>
      <c r="B26" s="46" t="s">
        <v>75</v>
      </c>
      <c r="D26" t="s">
        <v>142</v>
      </c>
    </row>
    <row r="27" spans="1:4" ht="20.149999999999999" customHeight="1" thickBot="1" x14ac:dyDescent="0.4">
      <c r="A27" s="77" t="s">
        <v>655</v>
      </c>
      <c r="B27" s="94">
        <f>IFERROR(INDEX('Exploratory cost data'!$G$92:$R$111,MATCH('Exploratory cost estimate'!B25,'Exploratory cost data'!$D$92:$D$111,0),MATCH('Exploratory cost estimate'!B26,'Exploratory cost data'!$G$1:$R$1,0)),"0")</f>
        <v>5.144042274649169</v>
      </c>
      <c r="D27" s="76" t="s">
        <v>654</v>
      </c>
    </row>
    <row r="29" spans="1:4" x14ac:dyDescent="0.35">
      <c r="A29" s="72" t="s">
        <v>107</v>
      </c>
      <c r="B29" s="80">
        <f>B27*0.715564</f>
        <v>3.6808914662170578</v>
      </c>
    </row>
    <row r="30" spans="1:4" x14ac:dyDescent="0.35">
      <c r="A30" s="72" t="s">
        <v>12</v>
      </c>
      <c r="B30" s="80">
        <f>B29*0.3</f>
        <v>1.1042674398651173</v>
      </c>
      <c r="D30" s="92">
        <f>B30/B29</f>
        <v>0.3</v>
      </c>
    </row>
    <row r="31" spans="1:4" x14ac:dyDescent="0.35">
      <c r="A31" s="72" t="s">
        <v>13</v>
      </c>
      <c r="B31" s="80">
        <f>(B29+B30)*0.075</f>
        <v>0.35888691795616318</v>
      </c>
      <c r="D31" s="92">
        <f>B31/(B30+B29)</f>
        <v>7.4999999999999997E-2</v>
      </c>
    </row>
    <row r="32" spans="1:4" ht="15" thickBot="1" x14ac:dyDescent="0.4">
      <c r="A32" s="77" t="s">
        <v>655</v>
      </c>
      <c r="B32" s="81">
        <f>SUM(B29:B31)</f>
        <v>5.1440458240383391</v>
      </c>
    </row>
    <row r="33" spans="1:4" ht="15" thickTop="1" x14ac:dyDescent="0.35">
      <c r="B33" s="78"/>
    </row>
    <row r="34" spans="1:4" ht="15" thickBot="1" x14ac:dyDescent="0.4">
      <c r="B34" s="78"/>
    </row>
    <row r="35" spans="1:4" ht="15" thickBot="1" x14ac:dyDescent="0.4">
      <c r="A35" s="45"/>
      <c r="B35" s="42" t="s">
        <v>144</v>
      </c>
      <c r="D35" t="s">
        <v>157</v>
      </c>
    </row>
    <row r="36" spans="1:4" ht="20.149999999999999" customHeight="1" x14ac:dyDescent="0.35">
      <c r="A36" s="34" t="s">
        <v>139</v>
      </c>
      <c r="B36" s="73" t="s">
        <v>126</v>
      </c>
      <c r="D36" t="s">
        <v>142</v>
      </c>
    </row>
    <row r="37" spans="1:4" ht="20.149999999999999" customHeight="1" thickBot="1" x14ac:dyDescent="0.4">
      <c r="A37" s="36" t="s">
        <v>124</v>
      </c>
      <c r="B37" s="46" t="s">
        <v>73</v>
      </c>
      <c r="D37" t="s">
        <v>142</v>
      </c>
    </row>
    <row r="38" spans="1:4" ht="20.149999999999999" customHeight="1" thickBot="1" x14ac:dyDescent="0.4">
      <c r="A38" s="77" t="s">
        <v>655</v>
      </c>
      <c r="B38" s="94">
        <f>IFERROR(INDEX('Exploratory cost data'!$G$92:$R$111,MATCH('Exploratory cost estimate'!B36,'Exploratory cost data'!$D$92:$D$111,0),MATCH('Exploratory cost estimate'!B37,'Exploratory cost data'!$G$1:$R$1,0)),"0")</f>
        <v>2.6594877579980989</v>
      </c>
      <c r="D38" s="76" t="s">
        <v>654</v>
      </c>
    </row>
    <row r="40" spans="1:4" x14ac:dyDescent="0.35">
      <c r="A40" s="72" t="s">
        <v>107</v>
      </c>
      <c r="B40" s="80">
        <f>B38*0.715564</f>
        <v>1.9030336980641516</v>
      </c>
    </row>
    <row r="41" spans="1:4" x14ac:dyDescent="0.35">
      <c r="A41" s="72" t="s">
        <v>12</v>
      </c>
      <c r="B41" s="80">
        <f>B40*0.3</f>
        <v>0.57091010941924547</v>
      </c>
      <c r="D41" s="92">
        <f>B41/B40</f>
        <v>0.3</v>
      </c>
    </row>
    <row r="42" spans="1:4" x14ac:dyDescent="0.35">
      <c r="A42" s="72" t="s">
        <v>13</v>
      </c>
      <c r="B42" s="80">
        <f>(B40+B41)*0.075</f>
        <v>0.18554578556125476</v>
      </c>
      <c r="D42" s="92">
        <f>B42/(B41+B40)</f>
        <v>7.4999999999999997E-2</v>
      </c>
    </row>
    <row r="43" spans="1:4" ht="15" thickBot="1" x14ac:dyDescent="0.4">
      <c r="A43" s="77" t="s">
        <v>655</v>
      </c>
      <c r="B43" s="81">
        <f>SUM(B40:B42)</f>
        <v>2.6594895930446514</v>
      </c>
    </row>
    <row r="44" spans="1:4" ht="15" thickTop="1" x14ac:dyDescent="0.35">
      <c r="A44" s="170"/>
      <c r="B44" s="80"/>
    </row>
    <row r="45" spans="1:4" ht="15" thickBot="1" x14ac:dyDescent="0.4">
      <c r="A45" s="170"/>
      <c r="B45" s="80"/>
    </row>
    <row r="46" spans="1:4" ht="15" thickBot="1" x14ac:dyDescent="0.4">
      <c r="A46" s="170"/>
      <c r="B46" s="42" t="s">
        <v>757</v>
      </c>
    </row>
    <row r="47" spans="1:4" x14ac:dyDescent="0.35">
      <c r="A47" s="36" t="s">
        <v>294</v>
      </c>
      <c r="B47" s="46" t="s">
        <v>75</v>
      </c>
      <c r="D47" t="s">
        <v>142</v>
      </c>
    </row>
    <row r="48" spans="1:4" x14ac:dyDescent="0.35">
      <c r="A48" s="36" t="s">
        <v>295</v>
      </c>
      <c r="B48" s="46" t="s">
        <v>73</v>
      </c>
      <c r="D48" t="s">
        <v>142</v>
      </c>
    </row>
    <row r="49" spans="1:12" x14ac:dyDescent="0.35">
      <c r="A49" s="36" t="s">
        <v>296</v>
      </c>
      <c r="B49" s="93">
        <v>400</v>
      </c>
      <c r="D49" t="s">
        <v>162</v>
      </c>
    </row>
    <row r="50" spans="1:12" ht="15" thickBot="1" x14ac:dyDescent="0.4">
      <c r="A50" s="77" t="s">
        <v>655</v>
      </c>
      <c r="B50" s="367">
        <f>IFERROR(B49*INDEX('Exploratory cost data'!$F$92:$S$124,MATCH('Exploratory cost estimate'!B47,'Exploratory cost data'!$E$92:$E$124,0),MATCH('Exploratory cost estimate'!B48,'Exploratory cost data'!$F$1:$S$1,0))/1000000+
HLOOKUP(B47,'Exploratory cost data'!$G$1:$N$112,112,FALSE)+
HLOOKUP(B48,'Exploratory cost data'!$G$1:$N$112,112,FALSE),"0")</f>
        <v>12.611199422608186</v>
      </c>
      <c r="D50" s="76" t="s">
        <v>654</v>
      </c>
    </row>
    <row r="51" spans="1:12" ht="15" thickTop="1" x14ac:dyDescent="0.35">
      <c r="A51" s="170"/>
      <c r="B51" s="80"/>
    </row>
    <row r="52" spans="1:12" x14ac:dyDescent="0.35">
      <c r="A52" s="72" t="s">
        <v>107</v>
      </c>
      <c r="B52" s="80">
        <f>B50*0.715564</f>
        <v>9.0241203036392044</v>
      </c>
    </row>
    <row r="53" spans="1:12" x14ac:dyDescent="0.35">
      <c r="A53" s="72" t="s">
        <v>12</v>
      </c>
      <c r="B53" s="80">
        <f>B52*0.3</f>
        <v>2.7072360910917612</v>
      </c>
      <c r="D53" s="92">
        <f>B53/B52</f>
        <v>0.3</v>
      </c>
    </row>
    <row r="54" spans="1:12" x14ac:dyDescent="0.35">
      <c r="A54" s="72" t="s">
        <v>13</v>
      </c>
      <c r="B54" s="80">
        <f>(B52+B53)*0.075</f>
        <v>0.87985172960482239</v>
      </c>
      <c r="D54" s="92">
        <f>B54/(B53+B52)</f>
        <v>7.4999999999999997E-2</v>
      </c>
    </row>
    <row r="55" spans="1:12" ht="15" thickBot="1" x14ac:dyDescent="0.4">
      <c r="A55" s="77" t="s">
        <v>655</v>
      </c>
      <c r="B55" s="81">
        <f>SUM(B52:B54)</f>
        <v>12.611208124335789</v>
      </c>
    </row>
    <row r="56" spans="1:12" ht="15" thickTop="1" x14ac:dyDescent="0.35">
      <c r="A56" s="170"/>
      <c r="B56" s="80"/>
    </row>
    <row r="58" spans="1:12" ht="6" customHeight="1" x14ac:dyDescent="0.35">
      <c r="A58" s="87"/>
      <c r="B58" s="87"/>
      <c r="C58" s="87"/>
      <c r="D58" s="87"/>
      <c r="E58" s="87"/>
      <c r="F58" s="87"/>
      <c r="G58" s="87"/>
      <c r="H58" s="87"/>
      <c r="I58" s="87"/>
      <c r="J58" s="87"/>
      <c r="K58" s="87"/>
      <c r="L58" s="87"/>
    </row>
    <row r="59" spans="1:12" ht="15" thickBot="1" x14ac:dyDescent="0.4"/>
    <row r="60" spans="1:12" ht="15" thickBot="1" x14ac:dyDescent="0.4">
      <c r="B60" s="88" t="s">
        <v>64</v>
      </c>
    </row>
    <row r="61" spans="1:12" x14ac:dyDescent="0.35">
      <c r="A61" s="97" t="s">
        <v>159</v>
      </c>
      <c r="B61" s="85">
        <f>(B18+B29+B40+B52)*1000000</f>
        <v>279723563.01378053</v>
      </c>
    </row>
    <row r="62" spans="1:12" x14ac:dyDescent="0.35">
      <c r="A62" s="97" t="s">
        <v>755</v>
      </c>
      <c r="B62" s="338">
        <f>D62*B61</f>
        <v>27972356.301378056</v>
      </c>
      <c r="D62" s="179">
        <v>0.1</v>
      </c>
      <c r="E62" s="339" t="s">
        <v>756</v>
      </c>
    </row>
    <row r="63" spans="1:12" x14ac:dyDescent="0.35">
      <c r="A63" s="97" t="s">
        <v>160</v>
      </c>
      <c r="B63" s="96">
        <v>2000</v>
      </c>
    </row>
    <row r="64" spans="1:12" x14ac:dyDescent="0.35">
      <c r="A64" s="97" t="s">
        <v>160</v>
      </c>
      <c r="B64" s="96">
        <v>3000</v>
      </c>
    </row>
    <row r="65" spans="1:6" x14ac:dyDescent="0.35">
      <c r="A65" s="97" t="s">
        <v>160</v>
      </c>
      <c r="B65" s="96">
        <v>4000</v>
      </c>
    </row>
    <row r="66" spans="1:6" x14ac:dyDescent="0.35">
      <c r="A66" s="97" t="s">
        <v>161</v>
      </c>
      <c r="B66" s="95">
        <f>SUM(B61:B65)</f>
        <v>307704919.31515861</v>
      </c>
    </row>
    <row r="67" spans="1:6" x14ac:dyDescent="0.35">
      <c r="A67" s="72" t="s">
        <v>12</v>
      </c>
      <c r="B67" s="85">
        <f>B66*D67</f>
        <v>92311475.794547573</v>
      </c>
      <c r="D67" s="92">
        <v>0.3</v>
      </c>
    </row>
    <row r="68" spans="1:6" x14ac:dyDescent="0.35">
      <c r="A68" s="72" t="s">
        <v>13</v>
      </c>
      <c r="B68" s="85">
        <f>SUM(B66:B67)*D68</f>
        <v>30001229.633227963</v>
      </c>
      <c r="D68" s="92">
        <v>7.4999999999999997E-2</v>
      </c>
    </row>
    <row r="69" spans="1:6" ht="15" thickBot="1" x14ac:dyDescent="0.4">
      <c r="A69" s="77" t="s">
        <v>655</v>
      </c>
      <c r="B69" s="86">
        <f>SUM(B66:B68)</f>
        <v>430017624.74293411</v>
      </c>
    </row>
    <row r="70" spans="1:6" ht="15" thickTop="1" x14ac:dyDescent="0.35"/>
    <row r="76" spans="1:6" ht="15" thickBot="1" x14ac:dyDescent="0.4">
      <c r="B76" s="187">
        <f>IFERROR(B49*INDEX('Exploratory cost data'!$F$92:$R$124,MATCH('Exploratory cost estimate'!B47,'Exploratory cost data'!$E$92:$E$124,0),MATCH('Exploratory cost estimate'!B48,'Exploratory cost data'!$F$1:$R$1,0))/1000000,"0")</f>
        <v>4.8076693899609193</v>
      </c>
      <c r="E76">
        <v>4807669.3899609204</v>
      </c>
      <c r="F76" s="347">
        <f>'Exploratory cost data'!J118</f>
        <v>12019.1734749023</v>
      </c>
    </row>
    <row r="77" spans="1:6" ht="15" thickTop="1" x14ac:dyDescent="0.35">
      <c r="F77">
        <v>400</v>
      </c>
    </row>
    <row r="78" spans="1:6" ht="15" thickBot="1" x14ac:dyDescent="0.4">
      <c r="B78" s="187">
        <f>IFERROR(HLOOKUP(B47,'Exploratory cost data'!$G$1:$N$112,112,FALSE),"0")</f>
        <v>5.144042274649169</v>
      </c>
      <c r="F78" s="348">
        <f>F76*F77</f>
        <v>4807669.3899609195</v>
      </c>
    </row>
    <row r="79" spans="1:6" ht="15" thickTop="1" x14ac:dyDescent="0.35"/>
    <row r="80" spans="1:6" ht="15" thickBot="1" x14ac:dyDescent="0.4">
      <c r="B80" s="187">
        <f>IFERROR(HLOOKUP(B48,'Exploratory cost data'!$G$1:$N$112,112,FALSE),"0")</f>
        <v>2.6594877579980989</v>
      </c>
    </row>
    <row r="81" ht="15" thickTop="1" x14ac:dyDescent="0.35"/>
  </sheetData>
  <mergeCells count="5">
    <mergeCell ref="A1:B1"/>
    <mergeCell ref="A2:B2"/>
    <mergeCell ref="A5:B5"/>
    <mergeCell ref="A3:B3"/>
    <mergeCell ref="A4:B4"/>
  </mergeCells>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7">
        <x14:dataValidation type="list" allowBlank="1" showInputMessage="1" showErrorMessage="1" xr:uid="{90D1EE39-A5FB-4A86-B5F6-CE71501C9A35}">
          <x14:formula1>
            <xm:f>'Exploratory cost data'!$G$1:$R$1</xm:f>
          </x14:formula1>
          <xm:sqref>B26 B37 B47:B48</xm:sqref>
        </x14:dataValidation>
        <x14:dataValidation type="list" allowBlank="1" showInputMessage="1" showErrorMessage="1" xr:uid="{6B2369D0-B5C5-4A59-918E-4162D04193D6}">
          <x14:formula1>
            <xm:f>'Exploratory cost data'!$A$2:$A$16</xm:f>
          </x14:formula1>
          <xm:sqref>B10</xm:sqref>
        </x14:dataValidation>
        <x14:dataValidation type="list" allowBlank="1" showInputMessage="1" showErrorMessage="1" xr:uid="{454F3B74-0989-4CB9-831A-3B858EF819C2}">
          <x14:formula1>
            <xm:f>'Exploratory cost data'!$B$76:$B$77</xm:f>
          </x14:formula1>
          <xm:sqref>B11</xm:sqref>
        </x14:dataValidation>
        <x14:dataValidation type="list" allowBlank="1" showInputMessage="1" showErrorMessage="1" xr:uid="{706648C4-F214-4C36-B3E5-649C5D3AF9AE}">
          <x14:formula1>
            <xm:f>'Exploratory cost data'!$D$16:$D$17</xm:f>
          </x14:formula1>
          <xm:sqref>B13</xm:sqref>
        </x14:dataValidation>
        <x14:dataValidation type="list" allowBlank="1" showInputMessage="1" showErrorMessage="1" xr:uid="{A1BE842F-8B10-4A58-978E-5B064A0EC279}">
          <x14:formula1>
            <xm:f>'Exploratory cost data'!$A$129:$A$131</xm:f>
          </x14:formula1>
          <xm:sqref>B12</xm:sqref>
        </x14:dataValidation>
        <x14:dataValidation type="list" allowBlank="1" showInputMessage="1" showErrorMessage="1" xr:uid="{8D87B096-1FF2-4B4B-B52E-1B9460B204EA}">
          <x14:formula1>
            <xm:f>'Exploratory cost data'!$D$92:$D$111</xm:f>
          </x14:formula1>
          <xm:sqref>B25 B36</xm:sqref>
        </x14:dataValidation>
        <x14:dataValidation type="list" allowBlank="1" showInputMessage="1" showErrorMessage="1" xr:uid="{238AC860-E5E4-4919-B7B3-9493EA841057}">
          <x14:formula1>
            <xm:f>'Exploratory cost data'!$G$1:$S$1</xm:f>
          </x14:formula1>
          <xm:sqref>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7082-1D4B-4205-A9F2-628C6B985D4B}">
  <sheetPr>
    <tabColor theme="6"/>
  </sheetPr>
  <dimension ref="A1:H146"/>
  <sheetViews>
    <sheetView zoomScale="80" zoomScaleNormal="80" workbookViewId="0">
      <pane ySplit="11" topLeftCell="A12" activePane="bottomLeft" state="frozen"/>
      <selection sqref="A1:C1"/>
      <selection pane="bottomLeft" activeCell="A12" sqref="A12"/>
    </sheetView>
  </sheetViews>
  <sheetFormatPr defaultColWidth="9.1796875" defaultRowHeight="12.5" outlineLevelRow="1" x14ac:dyDescent="0.25"/>
  <cols>
    <col min="1" max="1" width="32" style="2" customWidth="1"/>
    <col min="2" max="2" width="24.453125" style="2" customWidth="1"/>
    <col min="3" max="3" width="33.453125" style="45" bestFit="1" customWidth="1"/>
    <col min="4" max="5" width="25.54296875" style="2" customWidth="1"/>
    <col min="6" max="6" width="18.1796875" style="2" customWidth="1"/>
    <col min="7" max="7" width="9.1796875" style="2"/>
    <col min="8" max="8" width="17.1796875" style="2" customWidth="1"/>
    <col min="9" max="16384" width="9.1796875" style="2"/>
  </cols>
  <sheetData>
    <row r="1" spans="1:6" ht="25" customHeight="1" thickBot="1" x14ac:dyDescent="0.3">
      <c r="F1" s="148" t="s">
        <v>23</v>
      </c>
    </row>
    <row r="2" spans="1:6" ht="20.149999999999999" customHeight="1" x14ac:dyDescent="0.25">
      <c r="E2" s="47" t="s">
        <v>102</v>
      </c>
      <c r="F2" s="46" t="s">
        <v>77</v>
      </c>
    </row>
    <row r="3" spans="1:6" ht="20.149999999999999" customHeight="1" x14ac:dyDescent="0.25">
      <c r="E3" s="48" t="s">
        <v>46</v>
      </c>
      <c r="F3" s="46" t="s">
        <v>75</v>
      </c>
    </row>
    <row r="4" spans="1:6" ht="20.149999999999999" customHeight="1" x14ac:dyDescent="0.25">
      <c r="E4" s="48" t="s">
        <v>103</v>
      </c>
      <c r="F4" s="46" t="s">
        <v>90</v>
      </c>
    </row>
    <row r="5" spans="1:6" ht="20.149999999999999" customHeight="1" x14ac:dyDescent="0.25">
      <c r="E5" s="48" t="s">
        <v>47</v>
      </c>
      <c r="F5" s="46" t="s">
        <v>91</v>
      </c>
    </row>
    <row r="6" spans="1:6" ht="20.149999999999999" customHeight="1" x14ac:dyDescent="0.25">
      <c r="E6" s="48" t="s">
        <v>48</v>
      </c>
      <c r="F6" s="46">
        <v>1</v>
      </c>
    </row>
    <row r="7" spans="1:6" ht="20.149999999999999" customHeight="1" x14ac:dyDescent="0.25">
      <c r="E7" s="48" t="s">
        <v>49</v>
      </c>
      <c r="F7" s="46" t="s">
        <v>153</v>
      </c>
    </row>
    <row r="8" spans="1:6" ht="20.149999999999999" customHeight="1" x14ac:dyDescent="0.25">
      <c r="E8" s="48" t="s">
        <v>50</v>
      </c>
      <c r="F8" s="46" t="s">
        <v>152</v>
      </c>
    </row>
    <row r="9" spans="1:6" ht="20.149999999999999" customHeight="1" x14ac:dyDescent="0.25">
      <c r="E9" s="48" t="s">
        <v>51</v>
      </c>
      <c r="F9" s="46">
        <v>2</v>
      </c>
    </row>
    <row r="10" spans="1:6" ht="20.149999999999999" customHeight="1" x14ac:dyDescent="0.25">
      <c r="E10" s="48" t="s">
        <v>53</v>
      </c>
      <c r="F10" s="46">
        <v>1</v>
      </c>
    </row>
    <row r="11" spans="1:6" ht="20.149999999999999" customHeight="1" x14ac:dyDescent="0.25">
      <c r="E11" s="48" t="s">
        <v>52</v>
      </c>
      <c r="F11" s="46">
        <v>1</v>
      </c>
    </row>
    <row r="12" spans="1:6" x14ac:dyDescent="0.25">
      <c r="A12" s="330"/>
      <c r="B12" s="330"/>
      <c r="C12" s="331"/>
      <c r="D12" s="330"/>
      <c r="E12" s="330"/>
      <c r="F12" s="330"/>
    </row>
    <row r="13" spans="1:6" ht="13" outlineLevel="1" thickBot="1" x14ac:dyDescent="0.3">
      <c r="A13" s="50"/>
      <c r="B13" s="50"/>
      <c r="C13" s="49"/>
      <c r="D13" s="50"/>
      <c r="E13" s="50"/>
      <c r="F13" s="50"/>
    </row>
    <row r="14" spans="1:6" ht="13" outlineLevel="1" x14ac:dyDescent="0.25">
      <c r="A14" s="58" t="s">
        <v>56</v>
      </c>
      <c r="B14" s="59"/>
      <c r="C14" s="60"/>
      <c r="D14" s="59"/>
      <c r="E14" s="59"/>
    </row>
    <row r="15" spans="1:6" ht="13" outlineLevel="1" x14ac:dyDescent="0.3">
      <c r="A15" s="147"/>
      <c r="B15" s="43" t="s">
        <v>115</v>
      </c>
      <c r="C15" s="43" t="s">
        <v>116</v>
      </c>
      <c r="D15" s="43" t="s">
        <v>105</v>
      </c>
      <c r="E15" s="43" t="s">
        <v>106</v>
      </c>
    </row>
    <row r="16" spans="1:6" outlineLevel="1" x14ac:dyDescent="0.25">
      <c r="A16" s="2" t="s">
        <v>65</v>
      </c>
      <c r="B16" s="45">
        <v>175</v>
      </c>
      <c r="C16" s="142">
        <v>0.25</v>
      </c>
      <c r="D16" s="151">
        <f>B16*5280*$F$6*C16/43560</f>
        <v>5.3030303030303028</v>
      </c>
      <c r="E16" s="107">
        <v>22032.860464062502</v>
      </c>
      <c r="F16" s="107">
        <f>D16*E16</f>
        <v>116840.92670336175</v>
      </c>
    </row>
    <row r="17" spans="1:6" outlineLevel="1" x14ac:dyDescent="0.25">
      <c r="A17" s="2" t="s">
        <v>66</v>
      </c>
      <c r="B17" s="45">
        <v>175</v>
      </c>
      <c r="C17" s="142">
        <v>0.65</v>
      </c>
      <c r="D17" s="151">
        <f t="shared" ref="D17:D18" si="0">B17*5280*$F$6*C17/43560</f>
        <v>13.787878787878787</v>
      </c>
      <c r="E17" s="107">
        <v>30290.4604640625</v>
      </c>
      <c r="F17" s="107">
        <f t="shared" ref="F17:F18" si="1">D17*E17</f>
        <v>417641.1973075284</v>
      </c>
    </row>
    <row r="18" spans="1:6" outlineLevel="1" x14ac:dyDescent="0.25">
      <c r="A18" s="2" t="s">
        <v>67</v>
      </c>
      <c r="B18" s="45">
        <v>175</v>
      </c>
      <c r="C18" s="142">
        <v>0.1</v>
      </c>
      <c r="D18" s="151">
        <f t="shared" si="0"/>
        <v>2.1212121212121211</v>
      </c>
      <c r="E18" s="107">
        <v>38548.060464062502</v>
      </c>
      <c r="F18" s="107">
        <f t="shared" si="1"/>
        <v>81768.613105587123</v>
      </c>
    </row>
    <row r="19" spans="1:6" ht="13.5" outlineLevel="1" thickBot="1" x14ac:dyDescent="0.35">
      <c r="A19" s="45"/>
      <c r="B19" s="45"/>
      <c r="D19" s="136"/>
      <c r="F19" s="143">
        <f>SUM(F16:F18)</f>
        <v>616250.73711647722</v>
      </c>
    </row>
    <row r="20" spans="1:6" ht="13" outlineLevel="1" thickTop="1" x14ac:dyDescent="0.25">
      <c r="A20" s="45"/>
      <c r="B20" s="45"/>
      <c r="D20" s="136"/>
      <c r="F20" s="154"/>
    </row>
    <row r="21" spans="1:6" ht="13" outlineLevel="1" thickBot="1" x14ac:dyDescent="0.3">
      <c r="A21" s="50"/>
      <c r="B21" s="50"/>
      <c r="C21" s="49"/>
      <c r="D21" s="50"/>
      <c r="E21" s="50"/>
      <c r="F21" s="50"/>
    </row>
    <row r="22" spans="1:6" ht="13" outlineLevel="1" x14ac:dyDescent="0.3">
      <c r="A22" s="144" t="s">
        <v>146</v>
      </c>
      <c r="B22" s="59"/>
      <c r="C22" s="60"/>
      <c r="D22" s="59"/>
      <c r="E22" s="59"/>
      <c r="F22" s="145" t="s">
        <v>111</v>
      </c>
    </row>
    <row r="23" spans="1:6" ht="13" outlineLevel="1" x14ac:dyDescent="0.3">
      <c r="A23" s="43" t="s">
        <v>108</v>
      </c>
      <c r="B23" s="43" t="s">
        <v>110</v>
      </c>
      <c r="C23" s="43" t="s">
        <v>148</v>
      </c>
      <c r="D23" s="43" t="s">
        <v>82</v>
      </c>
      <c r="E23" s="55" t="s">
        <v>150</v>
      </c>
      <c r="F23" s="63">
        <v>2.7503009100000009</v>
      </c>
    </row>
    <row r="24" spans="1:6" outlineLevel="1" x14ac:dyDescent="0.25">
      <c r="A24" s="2" t="s">
        <v>69</v>
      </c>
      <c r="B24" s="51">
        <v>4.5</v>
      </c>
      <c r="C24" s="4">
        <v>4.5</v>
      </c>
      <c r="D24" s="52">
        <v>22300</v>
      </c>
      <c r="E24" s="9">
        <f>C24*D24</f>
        <v>100350</v>
      </c>
      <c r="F24" s="41">
        <f>E24*F$23</f>
        <v>275992.69631850009</v>
      </c>
    </row>
    <row r="25" spans="1:6" outlineLevel="1" x14ac:dyDescent="0.25">
      <c r="A25" s="2" t="s">
        <v>93</v>
      </c>
      <c r="B25" s="51">
        <v>1</v>
      </c>
      <c r="C25" s="4">
        <v>1</v>
      </c>
      <c r="D25" s="52">
        <v>37900</v>
      </c>
      <c r="E25" s="9">
        <f t="shared" ref="E25:E27" si="2">C25*D25</f>
        <v>37900</v>
      </c>
      <c r="F25" s="41">
        <f t="shared" ref="F25:F27" si="3">E25*F$23</f>
        <v>104236.40448900004</v>
      </c>
    </row>
    <row r="26" spans="1:6" outlineLevel="1" x14ac:dyDescent="0.25">
      <c r="A26" s="2" t="s">
        <v>88</v>
      </c>
      <c r="B26" s="51">
        <v>0.25</v>
      </c>
      <c r="C26" s="4">
        <v>0.25</v>
      </c>
      <c r="D26" s="52">
        <v>42400</v>
      </c>
      <c r="E26" s="9">
        <f t="shared" si="2"/>
        <v>10600</v>
      </c>
      <c r="F26" s="41">
        <f t="shared" si="3"/>
        <v>29153.18964600001</v>
      </c>
    </row>
    <row r="27" spans="1:6" outlineLevel="1" x14ac:dyDescent="0.25">
      <c r="A27" s="2" t="s">
        <v>89</v>
      </c>
      <c r="B27" s="51">
        <v>0.25</v>
      </c>
      <c r="C27" s="4">
        <v>0.25</v>
      </c>
      <c r="D27" s="52">
        <v>48100</v>
      </c>
      <c r="E27" s="9">
        <f t="shared" si="2"/>
        <v>12025</v>
      </c>
      <c r="F27" s="41">
        <f t="shared" si="3"/>
        <v>33072.368442750012</v>
      </c>
    </row>
    <row r="28" spans="1:6" ht="13.5" outlineLevel="1" thickBot="1" x14ac:dyDescent="0.35">
      <c r="C28" s="118"/>
      <c r="F28" s="143">
        <f>SUM(F24:F27)</f>
        <v>442454.65889625013</v>
      </c>
    </row>
    <row r="29" spans="1:6" ht="13" outlineLevel="1" thickTop="1" x14ac:dyDescent="0.25">
      <c r="B29" s="51"/>
      <c r="C29" s="4"/>
      <c r="D29" s="52"/>
      <c r="E29" s="9"/>
      <c r="F29" s="154"/>
    </row>
    <row r="30" spans="1:6" ht="13" outlineLevel="1" thickBot="1" x14ac:dyDescent="0.3">
      <c r="B30" s="173"/>
      <c r="C30" s="101"/>
      <c r="D30" s="157"/>
      <c r="E30" s="101"/>
    </row>
    <row r="31" spans="1:6" ht="13" outlineLevel="1" x14ac:dyDescent="0.3">
      <c r="A31" s="174" t="s">
        <v>147</v>
      </c>
      <c r="B31" s="171"/>
      <c r="C31" s="172"/>
      <c r="D31" s="171"/>
      <c r="E31" s="171"/>
      <c r="F31" s="175" t="s">
        <v>245</v>
      </c>
    </row>
    <row r="32" spans="1:6" ht="13" outlineLevel="1" x14ac:dyDescent="0.3">
      <c r="A32" s="43" t="s">
        <v>108</v>
      </c>
      <c r="B32" s="43" t="s">
        <v>83</v>
      </c>
      <c r="C32" s="43" t="s">
        <v>112</v>
      </c>
      <c r="D32" s="43" t="s">
        <v>113</v>
      </c>
      <c r="F32" s="340">
        <v>1617.840417375</v>
      </c>
    </row>
    <row r="33" spans="1:6" outlineLevel="1" x14ac:dyDescent="0.25">
      <c r="A33" s="2" t="s">
        <v>69</v>
      </c>
      <c r="B33" s="149">
        <v>21</v>
      </c>
      <c r="C33" s="150">
        <v>4.5</v>
      </c>
      <c r="D33" s="4">
        <f>B33*C33</f>
        <v>94.5</v>
      </c>
      <c r="F33" s="41">
        <f>D33*F$32</f>
        <v>152885.9194419375</v>
      </c>
    </row>
    <row r="34" spans="1:6" outlineLevel="1" x14ac:dyDescent="0.25">
      <c r="A34" s="2" t="s">
        <v>93</v>
      </c>
      <c r="B34" s="149">
        <v>30</v>
      </c>
      <c r="C34" s="150">
        <v>1</v>
      </c>
      <c r="D34" s="4">
        <f t="shared" ref="D34:D36" si="4">B34*C34</f>
        <v>30</v>
      </c>
      <c r="E34" s="9"/>
      <c r="F34" s="41">
        <f t="shared" ref="F34:F36" si="5">D34*F$32</f>
        <v>48535.212521250003</v>
      </c>
    </row>
    <row r="35" spans="1:6" outlineLevel="1" x14ac:dyDescent="0.25">
      <c r="A35" s="2" t="s">
        <v>88</v>
      </c>
      <c r="B35" s="149">
        <v>33.5</v>
      </c>
      <c r="C35" s="150">
        <v>0.25</v>
      </c>
      <c r="D35" s="4">
        <f t="shared" si="4"/>
        <v>8.375</v>
      </c>
      <c r="E35" s="9"/>
      <c r="F35" s="41">
        <f t="shared" si="5"/>
        <v>13549.413495515626</v>
      </c>
    </row>
    <row r="36" spans="1:6" outlineLevel="1" x14ac:dyDescent="0.25">
      <c r="A36" s="2" t="s">
        <v>89</v>
      </c>
      <c r="B36" s="149">
        <v>41.5</v>
      </c>
      <c r="C36" s="150">
        <v>0.25</v>
      </c>
      <c r="D36" s="4">
        <f t="shared" si="4"/>
        <v>10.375</v>
      </c>
      <c r="E36" s="9"/>
      <c r="F36" s="41">
        <f t="shared" si="5"/>
        <v>16785.094330265627</v>
      </c>
    </row>
    <row r="37" spans="1:6" ht="13.5" outlineLevel="1" thickBot="1" x14ac:dyDescent="0.35">
      <c r="B37" s="146"/>
      <c r="C37" s="118"/>
      <c r="D37" s="4"/>
      <c r="F37" s="65">
        <f>SUM(F33:F36)</f>
        <v>231755.63978896875</v>
      </c>
    </row>
    <row r="38" spans="1:6" ht="13" outlineLevel="1" thickTop="1" x14ac:dyDescent="0.25">
      <c r="B38" s="146"/>
      <c r="C38" s="118"/>
      <c r="D38" s="4"/>
      <c r="F38" s="154"/>
    </row>
    <row r="39" spans="1:6" outlineLevel="1" x14ac:dyDescent="0.25"/>
    <row r="40" spans="1:6" ht="13.5" outlineLevel="1" thickBot="1" x14ac:dyDescent="0.3">
      <c r="A40" s="291" t="s">
        <v>287</v>
      </c>
      <c r="B40" s="176"/>
      <c r="C40" s="177"/>
      <c r="D40" s="176"/>
      <c r="E40" s="176"/>
      <c r="F40" s="50"/>
    </row>
    <row r="41" spans="1:6" ht="13" outlineLevel="1" x14ac:dyDescent="0.3">
      <c r="A41" s="43" t="s">
        <v>108</v>
      </c>
      <c r="B41" s="146"/>
      <c r="C41" s="43" t="s">
        <v>148</v>
      </c>
      <c r="D41" s="43" t="s">
        <v>149</v>
      </c>
    </row>
    <row r="42" spans="1:6" outlineLevel="1" x14ac:dyDescent="0.25">
      <c r="A42" s="2" t="s">
        <v>69</v>
      </c>
      <c r="B42" s="146"/>
      <c r="C42" s="150">
        <v>4.5</v>
      </c>
      <c r="D42" s="9">
        <v>11091.181476375001</v>
      </c>
      <c r="F42" s="41">
        <f>C42*D42</f>
        <v>49910.316643687504</v>
      </c>
    </row>
    <row r="43" spans="1:6" outlineLevel="1" x14ac:dyDescent="0.25">
      <c r="A43" s="2" t="s">
        <v>93</v>
      </c>
      <c r="B43" s="146"/>
      <c r="C43" s="150">
        <v>1</v>
      </c>
      <c r="D43" s="9">
        <v>11091.181476375001</v>
      </c>
      <c r="E43" s="9"/>
      <c r="F43" s="41">
        <f t="shared" ref="F43:F45" si="6">C43*D43</f>
        <v>11091.181476375001</v>
      </c>
    </row>
    <row r="44" spans="1:6" outlineLevel="1" x14ac:dyDescent="0.25">
      <c r="A44" s="2" t="s">
        <v>88</v>
      </c>
      <c r="B44" s="146"/>
      <c r="C44" s="150">
        <v>0.25</v>
      </c>
      <c r="D44" s="9">
        <v>39865.370761124999</v>
      </c>
      <c r="E44" s="9"/>
      <c r="F44" s="41">
        <f t="shared" si="6"/>
        <v>9966.3426902812498</v>
      </c>
    </row>
    <row r="45" spans="1:6" outlineLevel="1" x14ac:dyDescent="0.25">
      <c r="A45" s="2" t="s">
        <v>89</v>
      </c>
      <c r="B45" s="146"/>
      <c r="C45" s="150">
        <v>0.25</v>
      </c>
      <c r="D45" s="9">
        <v>39865.370761124999</v>
      </c>
      <c r="E45" s="9"/>
      <c r="F45" s="41">
        <f t="shared" si="6"/>
        <v>9966.3426902812498</v>
      </c>
    </row>
    <row r="46" spans="1:6" ht="13.5" outlineLevel="1" thickBot="1" x14ac:dyDescent="0.35">
      <c r="B46" s="146"/>
      <c r="C46" s="2"/>
      <c r="E46" s="32" t="s">
        <v>179</v>
      </c>
      <c r="F46" s="65">
        <f>SUM(F42:F45)</f>
        <v>80934.183500625004</v>
      </c>
    </row>
    <row r="47" spans="1:6" ht="13" outlineLevel="1" thickTop="1" x14ac:dyDescent="0.25">
      <c r="A47" s="45"/>
      <c r="B47" s="45"/>
      <c r="D47" s="45"/>
      <c r="F47" s="154"/>
    </row>
    <row r="48" spans="1:6" ht="13" outlineLevel="1" thickBot="1" x14ac:dyDescent="0.3">
      <c r="A48" s="50"/>
      <c r="B48" s="50"/>
      <c r="C48" s="49"/>
      <c r="D48" s="50"/>
      <c r="E48" s="50"/>
      <c r="F48" s="50"/>
    </row>
    <row r="49" spans="1:8" ht="13" outlineLevel="1" x14ac:dyDescent="0.25">
      <c r="A49" s="99" t="s">
        <v>180</v>
      </c>
      <c r="B49" s="59"/>
      <c r="C49" s="60"/>
      <c r="D49" s="59"/>
      <c r="E49" s="59"/>
    </row>
    <row r="50" spans="1:8" ht="13" outlineLevel="1" x14ac:dyDescent="0.3">
      <c r="A50" s="43" t="s">
        <v>108</v>
      </c>
      <c r="B50" s="43" t="s">
        <v>163</v>
      </c>
      <c r="C50" s="43" t="s">
        <v>170</v>
      </c>
      <c r="D50" s="43" t="s">
        <v>149</v>
      </c>
    </row>
    <row r="51" spans="1:8" outlineLevel="1" x14ac:dyDescent="0.25">
      <c r="A51" s="2" t="s">
        <v>69</v>
      </c>
      <c r="B51" s="30" t="s">
        <v>164</v>
      </c>
      <c r="C51" s="82">
        <v>4.5</v>
      </c>
      <c r="D51" s="52">
        <v>79412.992808625015</v>
      </c>
      <c r="F51" s="41">
        <f>C51*D51</f>
        <v>357358.46763881255</v>
      </c>
    </row>
    <row r="52" spans="1:8" outlineLevel="1" x14ac:dyDescent="0.25">
      <c r="A52" s="2" t="s">
        <v>93</v>
      </c>
      <c r="B52" s="30" t="s">
        <v>164</v>
      </c>
      <c r="C52" s="82">
        <v>1</v>
      </c>
      <c r="D52" s="52">
        <v>134966.47656712504</v>
      </c>
      <c r="F52" s="41">
        <f t="shared" ref="F52:F54" si="7">C52*D52</f>
        <v>134966.47656712504</v>
      </c>
    </row>
    <row r="53" spans="1:8" outlineLevel="1" x14ac:dyDescent="0.25">
      <c r="A53" s="2" t="s">
        <v>88</v>
      </c>
      <c r="B53" s="30" t="s">
        <v>164</v>
      </c>
      <c r="C53" s="82">
        <v>0.25</v>
      </c>
      <c r="D53" s="52">
        <v>150991.51995900003</v>
      </c>
      <c r="F53" s="41">
        <f t="shared" si="7"/>
        <v>37747.879989750007</v>
      </c>
    </row>
    <row r="54" spans="1:8" outlineLevel="1" x14ac:dyDescent="0.25">
      <c r="A54" s="2" t="s">
        <v>89</v>
      </c>
      <c r="B54" s="30" t="s">
        <v>164</v>
      </c>
      <c r="C54" s="82">
        <v>0.25</v>
      </c>
      <c r="D54" s="52">
        <v>171289.90825537505</v>
      </c>
      <c r="F54" s="41">
        <f t="shared" si="7"/>
        <v>42822.477063843762</v>
      </c>
    </row>
    <row r="55" spans="1:8" ht="13" outlineLevel="1" thickBot="1" x14ac:dyDescent="0.3">
      <c r="B55" s="30"/>
      <c r="C55" s="334">
        <f>SUM(C51:C54)</f>
        <v>6</v>
      </c>
      <c r="D55" s="52"/>
      <c r="F55" s="41"/>
    </row>
    <row r="56" spans="1:8" ht="13" outlineLevel="1" thickTop="1" x14ac:dyDescent="0.25">
      <c r="B56" s="30"/>
      <c r="C56" s="82"/>
      <c r="D56" s="52"/>
      <c r="F56" s="41"/>
    </row>
    <row r="57" spans="1:8" outlineLevel="1" x14ac:dyDescent="0.25">
      <c r="A57" s="45" t="s">
        <v>80</v>
      </c>
      <c r="B57" s="30" t="s">
        <v>101</v>
      </c>
      <c r="C57" s="115">
        <v>175</v>
      </c>
      <c r="D57" s="52"/>
      <c r="F57" s="41"/>
    </row>
    <row r="58" spans="1:8" outlineLevel="1" x14ac:dyDescent="0.25">
      <c r="A58" s="45" t="s">
        <v>80</v>
      </c>
      <c r="B58" s="30" t="s">
        <v>263</v>
      </c>
      <c r="C58" s="153">
        <v>0.4</v>
      </c>
    </row>
    <row r="59" spans="1:8" outlineLevel="1" x14ac:dyDescent="0.25">
      <c r="A59" s="112" t="s">
        <v>191</v>
      </c>
      <c r="B59" s="30" t="s">
        <v>165</v>
      </c>
      <c r="C59" s="114">
        <v>1</v>
      </c>
    </row>
    <row r="60" spans="1:8" outlineLevel="1" x14ac:dyDescent="0.25">
      <c r="A60" s="2" t="s">
        <v>166</v>
      </c>
      <c r="B60" s="30" t="s">
        <v>43</v>
      </c>
      <c r="C60" s="335">
        <f>(C57*5280)*(C59/43560)*C58</f>
        <v>8.4848484848484844</v>
      </c>
      <c r="D60" s="111">
        <v>5485.821732562501</v>
      </c>
      <c r="F60" s="41">
        <f t="shared" ref="F60" si="8">C60*D60</f>
        <v>46546.366215681825</v>
      </c>
      <c r="H60" s="4"/>
    </row>
    <row r="61" spans="1:8" outlineLevel="1" x14ac:dyDescent="0.25">
      <c r="B61" s="30"/>
      <c r="C61" s="82"/>
      <c r="D61" s="111"/>
      <c r="F61" s="41"/>
    </row>
    <row r="62" spans="1:8" outlineLevel="1" x14ac:dyDescent="0.25">
      <c r="A62" s="112" t="s">
        <v>81</v>
      </c>
      <c r="B62" s="30" t="s">
        <v>101</v>
      </c>
      <c r="C62" s="115">
        <v>175</v>
      </c>
      <c r="D62" s="111"/>
      <c r="F62" s="41"/>
    </row>
    <row r="63" spans="1:8" outlineLevel="1" x14ac:dyDescent="0.25">
      <c r="A63" s="112" t="s">
        <v>81</v>
      </c>
      <c r="B63" s="30" t="s">
        <v>190</v>
      </c>
      <c r="C63" s="113">
        <v>0.05</v>
      </c>
      <c r="D63" s="111"/>
      <c r="F63" s="41"/>
    </row>
    <row r="64" spans="1:8" outlineLevel="1" x14ac:dyDescent="0.25">
      <c r="A64" s="112" t="s">
        <v>191</v>
      </c>
      <c r="B64" s="30" t="s">
        <v>165</v>
      </c>
      <c r="C64" s="114">
        <v>1</v>
      </c>
      <c r="D64" s="111"/>
      <c r="F64" s="41"/>
    </row>
    <row r="65" spans="1:6" outlineLevel="1" x14ac:dyDescent="0.25">
      <c r="A65" s="2" t="s">
        <v>168</v>
      </c>
      <c r="B65" s="30" t="s">
        <v>43</v>
      </c>
      <c r="C65" s="335">
        <f>(C62*5280)*(C64/43560)*C63</f>
        <v>1.0606060606060606</v>
      </c>
      <c r="D65" s="111">
        <v>64027.043409164078</v>
      </c>
      <c r="F65" s="41">
        <f t="shared" ref="F65:F67" si="9">C65*D65</f>
        <v>67907.470282446753</v>
      </c>
    </row>
    <row r="66" spans="1:6" outlineLevel="1" x14ac:dyDescent="0.25">
      <c r="A66" s="2" t="s">
        <v>167</v>
      </c>
      <c r="B66" s="30" t="s">
        <v>43</v>
      </c>
      <c r="C66" s="295">
        <f>C65</f>
        <v>1.0606060606060606</v>
      </c>
      <c r="D66" s="111">
        <v>51360.688013906263</v>
      </c>
      <c r="F66" s="41">
        <f t="shared" si="9"/>
        <v>54473.456984446035</v>
      </c>
    </row>
    <row r="67" spans="1:6" outlineLevel="1" x14ac:dyDescent="0.25">
      <c r="A67" s="69" t="s">
        <v>169</v>
      </c>
      <c r="B67" s="30" t="s">
        <v>43</v>
      </c>
      <c r="D67" s="111">
        <v>7131.7802238046888</v>
      </c>
      <c r="F67" s="41">
        <f t="shared" si="9"/>
        <v>0</v>
      </c>
    </row>
    <row r="68" spans="1:6" ht="13.5" outlineLevel="1" thickBot="1" x14ac:dyDescent="0.35">
      <c r="F68" s="65">
        <f>SUM(F51:F67)</f>
        <v>741822.59474210581</v>
      </c>
    </row>
    <row r="69" spans="1:6" ht="13" outlineLevel="1" thickTop="1" x14ac:dyDescent="0.25">
      <c r="C69" s="2"/>
      <c r="F69" s="154"/>
    </row>
    <row r="70" spans="1:6" ht="13" outlineLevel="1" thickBot="1" x14ac:dyDescent="0.3">
      <c r="A70" s="50"/>
      <c r="B70" s="50"/>
      <c r="C70" s="49"/>
      <c r="D70" s="50"/>
      <c r="E70" s="50"/>
      <c r="F70" s="50"/>
    </row>
    <row r="71" spans="1:6" ht="13" outlineLevel="1" x14ac:dyDescent="0.25">
      <c r="A71" s="99" t="s">
        <v>288</v>
      </c>
      <c r="B71" s="59"/>
      <c r="C71" s="60"/>
      <c r="D71" s="59"/>
      <c r="E71" s="59"/>
    </row>
    <row r="72" spans="1:6" ht="13" outlineLevel="1" x14ac:dyDescent="0.3">
      <c r="D72" s="43" t="s">
        <v>171</v>
      </c>
      <c r="E72" s="43" t="s">
        <v>172</v>
      </c>
    </row>
    <row r="73" spans="1:6" outlineLevel="1" x14ac:dyDescent="0.25">
      <c r="D73" s="2" t="s">
        <v>173</v>
      </c>
      <c r="E73" s="30" t="s">
        <v>659</v>
      </c>
      <c r="F73" s="41">
        <v>1951.5900814593754</v>
      </c>
    </row>
    <row r="74" spans="1:6" outlineLevel="1" x14ac:dyDescent="0.25">
      <c r="D74" s="2" t="s">
        <v>51</v>
      </c>
      <c r="F74" s="9">
        <f>F9</f>
        <v>2</v>
      </c>
    </row>
    <row r="75" spans="1:6" outlineLevel="1" x14ac:dyDescent="0.25">
      <c r="D75" s="2" t="s">
        <v>103</v>
      </c>
      <c r="E75" s="30" t="str">
        <f>$F$4</f>
        <v>Single</v>
      </c>
      <c r="F75" s="52">
        <f>IF($E$75="Single",1,2)</f>
        <v>1</v>
      </c>
    </row>
    <row r="76" spans="1:6" outlineLevel="1" x14ac:dyDescent="0.25">
      <c r="D76" s="2" t="s">
        <v>48</v>
      </c>
      <c r="F76" s="40">
        <v>1</v>
      </c>
    </row>
    <row r="77" spans="1:6" outlineLevel="1" x14ac:dyDescent="0.25">
      <c r="E77" s="2" t="s">
        <v>254</v>
      </c>
      <c r="F77" s="4">
        <v>1.04</v>
      </c>
    </row>
    <row r="78" spans="1:6" outlineLevel="1" x14ac:dyDescent="0.25">
      <c r="E78" s="2" t="s">
        <v>255</v>
      </c>
      <c r="F78" s="82">
        <v>5.28</v>
      </c>
    </row>
    <row r="79" spans="1:6" outlineLevel="1" x14ac:dyDescent="0.25">
      <c r="E79" s="2" t="s">
        <v>256</v>
      </c>
      <c r="F79" s="82">
        <v>3</v>
      </c>
    </row>
    <row r="80" spans="1:6" ht="13" outlineLevel="1" thickBot="1" x14ac:dyDescent="0.3">
      <c r="E80" s="45" t="s">
        <v>178</v>
      </c>
      <c r="F80" s="185">
        <f>F73*F74*F75*F76*F77*F78*F79</f>
        <v>64299.428731858337</v>
      </c>
    </row>
    <row r="81" spans="1:6" ht="13.5" outlineLevel="1" thickTop="1" x14ac:dyDescent="0.3">
      <c r="D81" s="43" t="s">
        <v>289</v>
      </c>
      <c r="E81" s="43" t="s">
        <v>172</v>
      </c>
      <c r="F81" s="107"/>
    </row>
    <row r="82" spans="1:6" outlineLevel="1" x14ac:dyDescent="0.25">
      <c r="D82" s="2" t="s">
        <v>173</v>
      </c>
      <c r="E82" s="30" t="s">
        <v>659</v>
      </c>
      <c r="F82" s="41">
        <v>298.76510445468756</v>
      </c>
    </row>
    <row r="83" spans="1:6" outlineLevel="1" x14ac:dyDescent="0.25">
      <c r="D83" s="2" t="s">
        <v>51</v>
      </c>
      <c r="F83" s="9">
        <v>2</v>
      </c>
    </row>
    <row r="84" spans="1:6" outlineLevel="1" x14ac:dyDescent="0.25">
      <c r="D84" s="2" t="s">
        <v>103</v>
      </c>
      <c r="E84" s="30" t="str">
        <f>$F$4</f>
        <v>Single</v>
      </c>
      <c r="F84" s="52">
        <f>IF($E$84="Single",1,2)</f>
        <v>1</v>
      </c>
    </row>
    <row r="85" spans="1:6" outlineLevel="1" x14ac:dyDescent="0.25">
      <c r="D85" s="2" t="s">
        <v>48</v>
      </c>
      <c r="F85" s="40">
        <v>1</v>
      </c>
    </row>
    <row r="86" spans="1:6" outlineLevel="1" x14ac:dyDescent="0.25">
      <c r="E86" s="2" t="s">
        <v>254</v>
      </c>
      <c r="F86" s="4">
        <v>1.04</v>
      </c>
    </row>
    <row r="87" spans="1:6" outlineLevel="1" x14ac:dyDescent="0.25">
      <c r="E87" s="2" t="s">
        <v>255</v>
      </c>
      <c r="F87" s="82">
        <v>5.28</v>
      </c>
    </row>
    <row r="88" spans="1:6" outlineLevel="1" x14ac:dyDescent="0.25">
      <c r="E88" s="2" t="s">
        <v>256</v>
      </c>
      <c r="F88" s="108">
        <v>3</v>
      </c>
    </row>
    <row r="89" spans="1:6" outlineLevel="1" x14ac:dyDescent="0.25">
      <c r="E89" s="45" t="s">
        <v>178</v>
      </c>
      <c r="F89" s="109">
        <f>F82*F83*F84*F85*F86*F87*F88</f>
        <v>9843.4736494894823</v>
      </c>
    </row>
    <row r="90" spans="1:6" ht="13.5" outlineLevel="1" thickBot="1" x14ac:dyDescent="0.35">
      <c r="E90" s="45" t="s">
        <v>290</v>
      </c>
      <c r="F90" s="116">
        <f>F80+F89</f>
        <v>74142.902381347812</v>
      </c>
    </row>
    <row r="91" spans="1:6" ht="13" outlineLevel="1" thickTop="1" x14ac:dyDescent="0.25">
      <c r="F91" s="154"/>
    </row>
    <row r="92" spans="1:6" ht="13" outlineLevel="1" thickBot="1" x14ac:dyDescent="0.3">
      <c r="A92" s="50"/>
      <c r="B92" s="50"/>
      <c r="C92" s="49"/>
      <c r="D92" s="50"/>
      <c r="E92" s="50"/>
      <c r="F92" s="50"/>
    </row>
    <row r="93" spans="1:6" ht="13" outlineLevel="1" x14ac:dyDescent="0.25">
      <c r="A93" s="99" t="s">
        <v>189</v>
      </c>
      <c r="B93" s="59"/>
      <c r="C93" s="60"/>
      <c r="D93" s="59"/>
      <c r="E93" s="59"/>
    </row>
    <row r="94" spans="1:6" ht="13" outlineLevel="1" x14ac:dyDescent="0.3">
      <c r="C94" s="2"/>
      <c r="D94" s="43" t="s">
        <v>171</v>
      </c>
      <c r="E94" s="43" t="s">
        <v>172</v>
      </c>
    </row>
    <row r="95" spans="1:6" outlineLevel="1" x14ac:dyDescent="0.25">
      <c r="C95" s="2"/>
      <c r="D95" s="2" t="s">
        <v>173</v>
      </c>
      <c r="E95" s="30" t="s">
        <v>659</v>
      </c>
      <c r="F95" s="41">
        <v>4558.1268415921886</v>
      </c>
    </row>
    <row r="96" spans="1:6" outlineLevel="1" x14ac:dyDescent="0.25">
      <c r="C96" s="2"/>
      <c r="D96" s="2" t="s">
        <v>51</v>
      </c>
      <c r="F96" s="9">
        <v>2</v>
      </c>
    </row>
    <row r="97" spans="1:6" outlineLevel="1" x14ac:dyDescent="0.25">
      <c r="C97" s="2"/>
      <c r="D97" s="2" t="s">
        <v>103</v>
      </c>
      <c r="E97" s="30" t="str">
        <f>$F$4</f>
        <v>Single</v>
      </c>
      <c r="F97" s="52">
        <f>IF($E$97="Single",1,2)</f>
        <v>1</v>
      </c>
    </row>
    <row r="98" spans="1:6" outlineLevel="1" x14ac:dyDescent="0.25">
      <c r="C98" s="2"/>
      <c r="D98" s="2" t="s">
        <v>48</v>
      </c>
      <c r="F98" s="40">
        <v>1</v>
      </c>
    </row>
    <row r="99" spans="1:6" outlineLevel="1" x14ac:dyDescent="0.25">
      <c r="C99" s="2"/>
      <c r="E99" s="2" t="s">
        <v>187</v>
      </c>
      <c r="F99" s="4">
        <v>1.04</v>
      </c>
    </row>
    <row r="100" spans="1:6" outlineLevel="1" x14ac:dyDescent="0.25">
      <c r="C100" s="2"/>
      <c r="E100" s="2" t="s">
        <v>186</v>
      </c>
      <c r="F100" s="82">
        <v>5.28</v>
      </c>
    </row>
    <row r="101" spans="1:6" outlineLevel="1" x14ac:dyDescent="0.25">
      <c r="C101" s="2"/>
      <c r="E101" s="2" t="s">
        <v>188</v>
      </c>
      <c r="F101" s="82">
        <v>3</v>
      </c>
    </row>
    <row r="102" spans="1:6" ht="13.5" outlineLevel="1" thickBot="1" x14ac:dyDescent="0.35">
      <c r="C102" s="2"/>
      <c r="F102" s="116">
        <f>F95*F96*F97*F98*F99*F100*F101</f>
        <v>150177.51667530616</v>
      </c>
    </row>
    <row r="103" spans="1:6" ht="13" outlineLevel="1" thickTop="1" x14ac:dyDescent="0.25">
      <c r="C103" s="2"/>
      <c r="F103" s="154"/>
    </row>
    <row r="104" spans="1:6" ht="13" outlineLevel="1" thickBot="1" x14ac:dyDescent="0.3">
      <c r="A104" s="50"/>
      <c r="B104" s="50"/>
      <c r="C104" s="49"/>
      <c r="D104" s="50"/>
      <c r="E104" s="50"/>
      <c r="F104" s="50"/>
    </row>
    <row r="105" spans="1:6" ht="13" outlineLevel="1" x14ac:dyDescent="0.25">
      <c r="A105" s="99" t="s">
        <v>257</v>
      </c>
      <c r="B105" s="59"/>
      <c r="C105" s="60"/>
      <c r="D105" s="59"/>
      <c r="E105" s="59"/>
    </row>
    <row r="106" spans="1:6" ht="13" outlineLevel="1" x14ac:dyDescent="0.3">
      <c r="C106" s="43" t="s">
        <v>171</v>
      </c>
      <c r="D106" s="43" t="s">
        <v>184</v>
      </c>
      <c r="E106" s="43" t="s">
        <v>183</v>
      </c>
    </row>
    <row r="107" spans="1:6" outlineLevel="1" x14ac:dyDescent="0.25">
      <c r="C107" s="2" t="s">
        <v>181</v>
      </c>
      <c r="D107" s="9">
        <v>1</v>
      </c>
      <c r="E107" s="110">
        <v>673.02680287500016</v>
      </c>
      <c r="F107" s="9">
        <f>D107*E107</f>
        <v>673.02680287500016</v>
      </c>
    </row>
    <row r="108" spans="1:6" outlineLevel="1" x14ac:dyDescent="0.25">
      <c r="C108" s="2" t="s">
        <v>182</v>
      </c>
      <c r="D108" s="101">
        <v>1</v>
      </c>
      <c r="E108" s="156">
        <v>3044.8833423750007</v>
      </c>
      <c r="F108" s="102">
        <f>D108*E108</f>
        <v>3044.8833423750007</v>
      </c>
    </row>
    <row r="109" spans="1:6" outlineLevel="1" x14ac:dyDescent="0.25">
      <c r="C109" s="2" t="s">
        <v>185</v>
      </c>
      <c r="D109" s="9"/>
      <c r="E109" s="110"/>
      <c r="F109" s="9">
        <f>F107+F108</f>
        <v>3717.9101452500008</v>
      </c>
    </row>
    <row r="110" spans="1:6" outlineLevel="1" x14ac:dyDescent="0.25">
      <c r="E110" s="2" t="s">
        <v>48</v>
      </c>
      <c r="F110" s="40">
        <v>1</v>
      </c>
    </row>
    <row r="111" spans="1:6" outlineLevel="1" x14ac:dyDescent="0.25">
      <c r="C111" s="2"/>
      <c r="E111" s="2" t="s">
        <v>187</v>
      </c>
      <c r="F111" s="4">
        <v>1.04</v>
      </c>
    </row>
    <row r="112" spans="1:6" outlineLevel="1" x14ac:dyDescent="0.25">
      <c r="C112" s="2"/>
      <c r="E112" s="2" t="s">
        <v>186</v>
      </c>
      <c r="F112" s="82">
        <v>5.28</v>
      </c>
    </row>
    <row r="113" spans="1:6" ht="13.5" outlineLevel="1" thickBot="1" x14ac:dyDescent="0.35">
      <c r="C113" s="2"/>
      <c r="F113" s="116">
        <f>F109*F110*F111*F112</f>
        <v>20415.788189596806</v>
      </c>
    </row>
    <row r="114" spans="1:6" ht="13" outlineLevel="1" thickTop="1" x14ac:dyDescent="0.25">
      <c r="C114" s="2"/>
      <c r="F114" s="154"/>
    </row>
    <row r="115" spans="1:6" ht="13" outlineLevel="1" thickBot="1" x14ac:dyDescent="0.3">
      <c r="A115" s="50"/>
      <c r="B115" s="50"/>
      <c r="C115" s="49"/>
      <c r="D115" s="50"/>
      <c r="E115" s="50"/>
      <c r="F115" s="50"/>
    </row>
    <row r="116" spans="1:6" ht="13" outlineLevel="1" x14ac:dyDescent="0.25">
      <c r="A116" s="99" t="s">
        <v>258</v>
      </c>
      <c r="B116" s="59"/>
      <c r="C116" s="60"/>
      <c r="D116" s="59"/>
      <c r="E116" s="59"/>
    </row>
    <row r="117" spans="1:6" ht="13" outlineLevel="1" x14ac:dyDescent="0.3">
      <c r="C117" s="43" t="s">
        <v>171</v>
      </c>
      <c r="D117" s="43" t="s">
        <v>184</v>
      </c>
      <c r="E117" s="43" t="s">
        <v>183</v>
      </c>
    </row>
    <row r="118" spans="1:6" outlineLevel="1" x14ac:dyDescent="0.25">
      <c r="C118" s="2" t="s">
        <v>181</v>
      </c>
      <c r="D118" s="9">
        <v>1</v>
      </c>
      <c r="E118" s="110">
        <v>1722.0886830000004</v>
      </c>
      <c r="F118" s="9">
        <f>D118*E118</f>
        <v>1722.0886830000004</v>
      </c>
    </row>
    <row r="119" spans="1:6" outlineLevel="1" x14ac:dyDescent="0.25">
      <c r="C119" s="2" t="s">
        <v>182</v>
      </c>
      <c r="D119" s="101">
        <v>1</v>
      </c>
      <c r="E119" s="156">
        <v>7781.3685416250019</v>
      </c>
      <c r="F119" s="102">
        <f>D119*E119</f>
        <v>7781.3685416250019</v>
      </c>
    </row>
    <row r="120" spans="1:6" outlineLevel="1" x14ac:dyDescent="0.25">
      <c r="C120" s="2" t="s">
        <v>185</v>
      </c>
      <c r="D120" s="9"/>
      <c r="E120" s="110"/>
      <c r="F120" s="9">
        <f>F118+F119</f>
        <v>9503.4572246250027</v>
      </c>
    </row>
    <row r="121" spans="1:6" outlineLevel="1" x14ac:dyDescent="0.25">
      <c r="E121" s="2" t="s">
        <v>48</v>
      </c>
      <c r="F121" s="40">
        <v>1</v>
      </c>
    </row>
    <row r="122" spans="1:6" outlineLevel="1" x14ac:dyDescent="0.25">
      <c r="C122" s="2"/>
      <c r="E122" s="2" t="s">
        <v>187</v>
      </c>
      <c r="F122" s="4">
        <v>1.04</v>
      </c>
    </row>
    <row r="123" spans="1:6" outlineLevel="1" x14ac:dyDescent="0.25">
      <c r="C123" s="2"/>
      <c r="E123" s="2" t="s">
        <v>186</v>
      </c>
      <c r="F123" s="82">
        <v>5.28</v>
      </c>
    </row>
    <row r="124" spans="1:6" ht="13.5" outlineLevel="1" thickBot="1" x14ac:dyDescent="0.35">
      <c r="C124" s="2"/>
      <c r="F124" s="116">
        <f>F120*F121*F122*F123</f>
        <v>52185.38431186082</v>
      </c>
    </row>
    <row r="125" spans="1:6" ht="13" outlineLevel="1" thickTop="1" x14ac:dyDescent="0.25">
      <c r="F125" s="154"/>
    </row>
    <row r="126" spans="1:6" ht="13" outlineLevel="1" thickBot="1" x14ac:dyDescent="0.3">
      <c r="A126" s="332"/>
      <c r="B126" s="332"/>
      <c r="C126" s="333"/>
      <c r="D126" s="332"/>
      <c r="E126" s="332"/>
      <c r="F126" s="332"/>
    </row>
    <row r="127" spans="1:6" x14ac:dyDescent="0.25">
      <c r="D127" s="100" t="s">
        <v>54</v>
      </c>
      <c r="E127" s="103">
        <v>5.5E-2</v>
      </c>
      <c r="F127" s="101">
        <f>E127*SUM(F$130:F$138)</f>
        <v>132557.66730813964</v>
      </c>
    </row>
    <row r="128" spans="1:6" ht="37.5" x14ac:dyDescent="0.25">
      <c r="D128" s="100" t="s">
        <v>55</v>
      </c>
      <c r="E128" s="103">
        <v>0.03</v>
      </c>
      <c r="F128" s="101">
        <f t="shared" ref="F128:F129" si="10">E128*SUM(F$130:F$138)</f>
        <v>72304.182168076164</v>
      </c>
    </row>
    <row r="129" spans="1:6" ht="25" x14ac:dyDescent="0.25">
      <c r="D129" s="100" t="s">
        <v>145</v>
      </c>
      <c r="E129" s="103">
        <v>1.4999999999999999E-2</v>
      </c>
      <c r="F129" s="101">
        <f t="shared" si="10"/>
        <v>36152.091084038082</v>
      </c>
    </row>
    <row r="130" spans="1:6" ht="37.5" x14ac:dyDescent="0.25">
      <c r="A130" s="45"/>
      <c r="B130" s="45"/>
      <c r="D130" s="100" t="s">
        <v>56</v>
      </c>
      <c r="E130" s="104"/>
      <c r="F130" s="56">
        <f>F19</f>
        <v>616250.73711647722</v>
      </c>
    </row>
    <row r="131" spans="1:6" x14ac:dyDescent="0.25">
      <c r="A131" s="45"/>
      <c r="B131" s="45"/>
      <c r="D131" s="100" t="s">
        <v>146</v>
      </c>
      <c r="E131" s="105"/>
      <c r="F131" s="56">
        <f>F28</f>
        <v>442454.65889625013</v>
      </c>
    </row>
    <row r="132" spans="1:6" x14ac:dyDescent="0.25">
      <c r="A132" s="45"/>
      <c r="B132" s="45"/>
      <c r="D132" s="100" t="s">
        <v>57</v>
      </c>
      <c r="E132" s="105"/>
      <c r="F132" s="56">
        <f>F37</f>
        <v>231755.63978896875</v>
      </c>
    </row>
    <row r="133" spans="1:6" ht="25" x14ac:dyDescent="0.25">
      <c r="A133" s="45"/>
      <c r="B133" s="45"/>
      <c r="D133" s="100" t="s">
        <v>58</v>
      </c>
      <c r="E133" s="105"/>
      <c r="F133" s="56">
        <f>F46</f>
        <v>80934.183500625004</v>
      </c>
    </row>
    <row r="134" spans="1:6" x14ac:dyDescent="0.25">
      <c r="A134" s="45"/>
      <c r="B134" s="45"/>
      <c r="D134" s="100" t="s">
        <v>59</v>
      </c>
      <c r="E134" s="105"/>
      <c r="F134" s="56">
        <f>F68</f>
        <v>741822.59474210581</v>
      </c>
    </row>
    <row r="135" spans="1:6" x14ac:dyDescent="0.25">
      <c r="A135" s="45"/>
      <c r="B135" s="45"/>
      <c r="D135" s="100" t="s">
        <v>60</v>
      </c>
      <c r="E135" s="105"/>
      <c r="F135" s="56">
        <f>F90</f>
        <v>74142.902381347812</v>
      </c>
    </row>
    <row r="136" spans="1:6" x14ac:dyDescent="0.25">
      <c r="A136" s="45"/>
      <c r="B136" s="45"/>
      <c r="D136" s="100" t="s">
        <v>61</v>
      </c>
      <c r="E136" s="105"/>
      <c r="F136" s="56">
        <f>F102</f>
        <v>150177.51667530616</v>
      </c>
    </row>
    <row r="137" spans="1:6" ht="25" x14ac:dyDescent="0.25">
      <c r="A137" s="45"/>
      <c r="B137" s="45"/>
      <c r="D137" s="100" t="s">
        <v>62</v>
      </c>
      <c r="E137" s="105"/>
      <c r="F137" s="56">
        <f>F113</f>
        <v>20415.788189596806</v>
      </c>
    </row>
    <row r="138" spans="1:6" ht="25" x14ac:dyDescent="0.25">
      <c r="A138" s="45"/>
      <c r="B138" s="45"/>
      <c r="D138" s="100" t="s">
        <v>63</v>
      </c>
      <c r="E138" s="106"/>
      <c r="F138" s="152">
        <f>F124</f>
        <v>52185.38431186082</v>
      </c>
    </row>
    <row r="139" spans="1:6" x14ac:dyDescent="0.25">
      <c r="A139" s="45"/>
      <c r="B139" s="45"/>
      <c r="D139" s="100" t="s">
        <v>175</v>
      </c>
      <c r="E139" s="100"/>
      <c r="F139" s="101">
        <f>SUM(F127:F138)</f>
        <v>2651153.3461627923</v>
      </c>
    </row>
    <row r="140" spans="1:6" x14ac:dyDescent="0.25">
      <c r="A140" s="45"/>
      <c r="B140" s="45"/>
      <c r="D140" s="100"/>
      <c r="E140" s="100"/>
      <c r="F140" s="101"/>
    </row>
    <row r="141" spans="1:6" x14ac:dyDescent="0.25">
      <c r="D141" s="100" t="s">
        <v>176</v>
      </c>
      <c r="E141" s="103">
        <v>0.3</v>
      </c>
      <c r="F141" s="101">
        <f>F139*E141</f>
        <v>795346.00384883769</v>
      </c>
    </row>
    <row r="142" spans="1:6" x14ac:dyDescent="0.25">
      <c r="D142" s="100" t="s">
        <v>177</v>
      </c>
      <c r="E142" s="103">
        <v>7.4999999999999997E-2</v>
      </c>
      <c r="F142" s="102">
        <f>(F139+F141)*E142</f>
        <v>258487.45125087223</v>
      </c>
    </row>
    <row r="143" spans="1:6" ht="25" x14ac:dyDescent="0.25">
      <c r="D143" s="100" t="s">
        <v>174</v>
      </c>
      <c r="E143" s="100"/>
      <c r="F143" s="101">
        <f>F141+F142</f>
        <v>1053833.4550997098</v>
      </c>
    </row>
    <row r="144" spans="1:6" x14ac:dyDescent="0.25">
      <c r="D144" s="100"/>
      <c r="E144" s="100"/>
      <c r="F144" s="101"/>
    </row>
    <row r="145" spans="4:6" ht="13.5" thickBot="1" x14ac:dyDescent="0.35">
      <c r="D145" s="140" t="s">
        <v>653</v>
      </c>
      <c r="E145" s="140"/>
      <c r="F145" s="117">
        <f>F139+F143</f>
        <v>3704986.8012625021</v>
      </c>
    </row>
    <row r="146" spans="4:6" ht="13" thickTop="1" x14ac:dyDescent="0.25">
      <c r="F146" s="119">
        <f>F145/1000000</f>
        <v>3.704986801262502</v>
      </c>
    </row>
  </sheetData>
  <conditionalFormatting sqref="F20">
    <cfRule type="cellIs" dxfId="8" priority="121" operator="notEqual">
      <formula>0</formula>
    </cfRule>
  </conditionalFormatting>
  <conditionalFormatting sqref="F29">
    <cfRule type="cellIs" dxfId="7" priority="108" operator="notEqual">
      <formula>0</formula>
    </cfRule>
  </conditionalFormatting>
  <conditionalFormatting sqref="F38">
    <cfRule type="cellIs" dxfId="6" priority="95" operator="notEqual">
      <formula>0</formula>
    </cfRule>
  </conditionalFormatting>
  <conditionalFormatting sqref="F47">
    <cfRule type="cellIs" dxfId="5" priority="82" operator="notEqual">
      <formula>0</formula>
    </cfRule>
  </conditionalFormatting>
  <conditionalFormatting sqref="F69">
    <cfRule type="cellIs" dxfId="4" priority="69" operator="notEqual">
      <formula>0</formula>
    </cfRule>
  </conditionalFormatting>
  <conditionalFormatting sqref="F91">
    <cfRule type="cellIs" dxfId="3" priority="56" operator="notEqual">
      <formula>0</formula>
    </cfRule>
  </conditionalFormatting>
  <conditionalFormatting sqref="F103">
    <cfRule type="cellIs" dxfId="2" priority="43" operator="notEqual">
      <formula>0</formula>
    </cfRule>
  </conditionalFormatting>
  <conditionalFormatting sqref="F114">
    <cfRule type="cellIs" dxfId="1" priority="30" operator="notEqual">
      <formula>0</formula>
    </cfRule>
  </conditionalFormatting>
  <conditionalFormatting sqref="F125">
    <cfRule type="cellIs" dxfId="0" priority="17" operator="notEqual">
      <formula>0</formula>
    </cfRule>
  </conditionalFormatting>
  <dataValidations disablePrompts="1" count="1">
    <dataValidation type="list" allowBlank="1" showInputMessage="1" showErrorMessage="1" sqref="F4:F5 F1:F2 F7:F8" xr:uid="{5886F248-FC68-43C6-85BC-1E5D33B4BEE1}">
      <formula1>#REF!</formula1>
    </dataValidation>
  </dataValidation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CC83F-680F-4CFA-8070-1A794DDCE52E}">
  <sheetPr>
    <tabColor theme="6"/>
  </sheetPr>
  <dimension ref="A1:F130"/>
  <sheetViews>
    <sheetView zoomScale="80" zoomScaleNormal="80" workbookViewId="0">
      <pane ySplit="23" topLeftCell="A24" activePane="bottomLeft" state="frozen"/>
      <selection pane="bottomLeft" activeCell="A24" sqref="A24"/>
    </sheetView>
  </sheetViews>
  <sheetFormatPr defaultColWidth="9.1796875" defaultRowHeight="12.5" outlineLevelRow="1" x14ac:dyDescent="0.25"/>
  <cols>
    <col min="1" max="1" width="31.453125" style="2" customWidth="1"/>
    <col min="2" max="2" width="24.453125" style="2" customWidth="1"/>
    <col min="3" max="3" width="33.453125" style="45" bestFit="1" customWidth="1"/>
    <col min="4" max="5" width="25.54296875" style="2" customWidth="1"/>
    <col min="6" max="6" width="21.54296875" style="2" customWidth="1"/>
    <col min="7" max="7" width="9.1796875" style="2"/>
    <col min="8" max="8" width="16" style="2" customWidth="1"/>
    <col min="9" max="16384" width="9.1796875" style="2"/>
  </cols>
  <sheetData>
    <row r="1" spans="1:6" s="158" customFormat="1" ht="13.5" customHeight="1" x14ac:dyDescent="0.25">
      <c r="B1" s="2"/>
      <c r="E1" s="47" t="s">
        <v>45</v>
      </c>
      <c r="F1" s="46" t="s">
        <v>23</v>
      </c>
    </row>
    <row r="2" spans="1:6" s="158" customFormat="1" ht="44.25" customHeight="1" x14ac:dyDescent="0.25">
      <c r="A2" s="2"/>
      <c r="B2" s="2"/>
      <c r="E2" s="292" t="s">
        <v>223</v>
      </c>
      <c r="F2" s="120" t="s">
        <v>224</v>
      </c>
    </row>
    <row r="3" spans="1:6" s="158" customFormat="1" ht="13.5" customHeight="1" x14ac:dyDescent="0.25">
      <c r="A3" s="2"/>
      <c r="B3" s="2"/>
      <c r="E3" s="293" t="s">
        <v>46</v>
      </c>
      <c r="F3" s="46" t="s">
        <v>75</v>
      </c>
    </row>
    <row r="4" spans="1:6" s="158" customFormat="1" ht="13.5" customHeight="1" x14ac:dyDescent="0.25">
      <c r="A4" s="2"/>
      <c r="B4" s="2"/>
      <c r="E4" s="293" t="s">
        <v>225</v>
      </c>
      <c r="F4" s="46" t="s">
        <v>67</v>
      </c>
    </row>
    <row r="5" spans="1:6" s="158" customFormat="1" ht="13.5" customHeight="1" x14ac:dyDescent="0.25">
      <c r="A5" s="2"/>
      <c r="B5" s="2"/>
      <c r="E5" s="293" t="s">
        <v>226</v>
      </c>
      <c r="F5" s="46" t="s">
        <v>81</v>
      </c>
    </row>
    <row r="6" spans="1:6" s="158" customFormat="1" ht="13.5" customHeight="1" x14ac:dyDescent="0.25">
      <c r="A6" s="2"/>
      <c r="B6" s="2"/>
      <c r="E6" s="294" t="s">
        <v>259</v>
      </c>
      <c r="F6" s="46"/>
    </row>
    <row r="7" spans="1:6" s="158" customFormat="1" ht="13.5" customHeight="1" outlineLevel="1" x14ac:dyDescent="0.25">
      <c r="A7" s="2"/>
      <c r="B7" s="2"/>
      <c r="E7" s="294" t="s">
        <v>658</v>
      </c>
      <c r="F7" s="46" t="s">
        <v>75</v>
      </c>
    </row>
    <row r="8" spans="1:6" s="158" customFormat="1" ht="13.5" customHeight="1" outlineLevel="1" x14ac:dyDescent="0.25">
      <c r="A8" s="2"/>
      <c r="B8" s="2"/>
      <c r="E8" s="294" t="s">
        <v>282</v>
      </c>
      <c r="F8" s="46"/>
    </row>
    <row r="9" spans="1:6" s="158" customFormat="1" ht="13.5" customHeight="1" outlineLevel="1" x14ac:dyDescent="0.25">
      <c r="A9" s="2"/>
      <c r="B9" s="2"/>
      <c r="E9" s="295" t="s">
        <v>657</v>
      </c>
      <c r="F9" s="46"/>
    </row>
    <row r="10" spans="1:6" s="158" customFormat="1" ht="13.5" customHeight="1" outlineLevel="1" x14ac:dyDescent="0.25">
      <c r="A10" s="2"/>
      <c r="B10" s="2"/>
      <c r="E10" s="293"/>
      <c r="F10" s="139"/>
    </row>
    <row r="11" spans="1:6" s="158" customFormat="1" ht="13.5" customHeight="1" outlineLevel="1" x14ac:dyDescent="0.25">
      <c r="A11" s="2"/>
      <c r="B11" s="2"/>
      <c r="D11" s="30" t="s">
        <v>229</v>
      </c>
      <c r="E11" s="122" t="s">
        <v>228</v>
      </c>
      <c r="F11" s="6">
        <v>9</v>
      </c>
    </row>
    <row r="12" spans="1:6" s="158" customFormat="1" ht="13.5" customHeight="1" outlineLevel="1" x14ac:dyDescent="0.25">
      <c r="A12" s="2"/>
      <c r="B12" s="2"/>
      <c r="D12" s="30" t="s">
        <v>230</v>
      </c>
      <c r="E12" s="122" t="s">
        <v>238</v>
      </c>
      <c r="F12" s="6">
        <v>1</v>
      </c>
    </row>
    <row r="13" spans="1:6" s="158" customFormat="1" ht="13.5" customHeight="1" outlineLevel="1" x14ac:dyDescent="0.25">
      <c r="A13" s="2"/>
      <c r="B13" s="2"/>
      <c r="D13" s="30" t="s">
        <v>231</v>
      </c>
      <c r="E13" s="122" t="s">
        <v>194</v>
      </c>
      <c r="F13" s="6">
        <v>8</v>
      </c>
    </row>
    <row r="14" spans="1:6" s="158" customFormat="1" ht="13.5" customHeight="1" outlineLevel="1" x14ac:dyDescent="0.25">
      <c r="A14" s="2"/>
      <c r="B14" s="2"/>
      <c r="D14" s="30" t="s">
        <v>231</v>
      </c>
      <c r="E14" s="122" t="s">
        <v>236</v>
      </c>
      <c r="F14" s="6">
        <v>16</v>
      </c>
    </row>
    <row r="15" spans="1:6" s="158" customFormat="1" ht="13.5" customHeight="1" outlineLevel="1" x14ac:dyDescent="0.25">
      <c r="A15" s="2"/>
      <c r="B15" s="2"/>
      <c r="D15" s="30" t="s">
        <v>232</v>
      </c>
      <c r="E15" s="122" t="s">
        <v>241</v>
      </c>
      <c r="F15" s="6">
        <v>6</v>
      </c>
    </row>
    <row r="16" spans="1:6" s="158" customFormat="1" ht="13.5" customHeight="1" outlineLevel="1" x14ac:dyDescent="0.25">
      <c r="A16" s="2"/>
      <c r="B16" s="2"/>
      <c r="D16" s="30" t="s">
        <v>233</v>
      </c>
      <c r="E16" s="122" t="s">
        <v>237</v>
      </c>
      <c r="F16" s="6">
        <v>20</v>
      </c>
    </row>
    <row r="17" spans="1:6" s="158" customFormat="1" ht="13.5" customHeight="1" outlineLevel="1" x14ac:dyDescent="0.25">
      <c r="A17" s="2"/>
      <c r="B17" s="2"/>
      <c r="D17" s="30" t="s">
        <v>231</v>
      </c>
      <c r="E17" s="126" t="s">
        <v>239</v>
      </c>
      <c r="F17" s="6">
        <v>4</v>
      </c>
    </row>
    <row r="18" spans="1:6" s="158" customFormat="1" ht="13.5" customHeight="1" outlineLevel="1" x14ac:dyDescent="0.25">
      <c r="A18" s="2"/>
      <c r="B18" s="2"/>
      <c r="D18" s="30" t="s">
        <v>231</v>
      </c>
      <c r="E18" s="126" t="s">
        <v>199</v>
      </c>
      <c r="F18" s="6">
        <v>1</v>
      </c>
    </row>
    <row r="19" spans="1:6" s="158" customFormat="1" ht="13.5" customHeight="1" outlineLevel="1" x14ac:dyDescent="0.25">
      <c r="A19" s="2"/>
      <c r="B19" s="2"/>
      <c r="D19" s="30" t="s">
        <v>231</v>
      </c>
      <c r="E19" s="126" t="s">
        <v>203</v>
      </c>
      <c r="F19" s="6">
        <v>10</v>
      </c>
    </row>
    <row r="20" spans="1:6" s="158" customFormat="1" ht="13.5" customHeight="1" outlineLevel="1" x14ac:dyDescent="0.25">
      <c r="A20" s="2"/>
      <c r="B20" s="2"/>
      <c r="D20" s="30" t="s">
        <v>214</v>
      </c>
      <c r="E20" s="126" t="s">
        <v>204</v>
      </c>
      <c r="F20" s="6">
        <v>48000</v>
      </c>
    </row>
    <row r="21" spans="1:6" s="158" customFormat="1" ht="13.5" customHeight="1" outlineLevel="1" x14ac:dyDescent="0.25">
      <c r="A21" s="2"/>
      <c r="B21" s="2"/>
      <c r="D21" s="30" t="s">
        <v>214</v>
      </c>
      <c r="E21" s="126" t="s">
        <v>205</v>
      </c>
      <c r="F21" s="6">
        <v>4800</v>
      </c>
    </row>
    <row r="22" spans="1:6" s="158" customFormat="1" ht="13.5" customHeight="1" outlineLevel="1" x14ac:dyDescent="0.25">
      <c r="A22" s="2"/>
      <c r="B22" s="2"/>
      <c r="D22" s="30" t="s">
        <v>234</v>
      </c>
      <c r="E22" s="126" t="s">
        <v>206</v>
      </c>
      <c r="F22" s="6">
        <v>480</v>
      </c>
    </row>
    <row r="23" spans="1:6" s="158" customFormat="1" ht="13.5" customHeight="1" outlineLevel="1" x14ac:dyDescent="0.25">
      <c r="A23" s="159"/>
      <c r="B23" s="159"/>
      <c r="C23" s="159"/>
      <c r="D23" s="159"/>
      <c r="E23" s="159"/>
      <c r="F23" s="159"/>
    </row>
    <row r="24" spans="1:6" s="158" customFormat="1" ht="13.5" customHeight="1" outlineLevel="1" x14ac:dyDescent="0.25"/>
    <row r="25" spans="1:6" ht="13" outlineLevel="1" x14ac:dyDescent="0.3">
      <c r="A25" s="131" t="s">
        <v>216</v>
      </c>
      <c r="B25" s="59"/>
      <c r="C25" s="60"/>
      <c r="D25" s="59"/>
      <c r="E25" s="59"/>
    </row>
    <row r="26" spans="1:6" ht="13" outlineLevel="1" x14ac:dyDescent="0.3">
      <c r="A26" s="55" t="s">
        <v>3</v>
      </c>
      <c r="B26" s="55" t="s">
        <v>252</v>
      </c>
      <c r="C26" s="137" t="s">
        <v>250</v>
      </c>
      <c r="D26" s="43" t="s">
        <v>251</v>
      </c>
      <c r="E26" s="138"/>
      <c r="F26" s="37"/>
    </row>
    <row r="27" spans="1:6" outlineLevel="1" x14ac:dyDescent="0.25">
      <c r="A27" s="2" t="s">
        <v>23</v>
      </c>
      <c r="B27" s="2" t="s">
        <v>67</v>
      </c>
      <c r="C27" s="136">
        <v>9</v>
      </c>
      <c r="D27" s="138">
        <v>38548.060464062502</v>
      </c>
      <c r="E27" s="138"/>
      <c r="F27" s="138">
        <f>C27*D27</f>
        <v>346932.54417656251</v>
      </c>
    </row>
    <row r="28" spans="1:6" ht="13.5" outlineLevel="1" thickBot="1" x14ac:dyDescent="0.35">
      <c r="C28" s="2"/>
      <c r="D28" s="136"/>
      <c r="E28" s="138"/>
      <c r="F28" s="65">
        <f>F27</f>
        <v>346932.54417656251</v>
      </c>
    </row>
    <row r="29" spans="1:6" ht="13.5" outlineLevel="1" thickTop="1" thickBot="1" x14ac:dyDescent="0.3"/>
    <row r="30" spans="1:6" ht="13" outlineLevel="1" x14ac:dyDescent="0.25">
      <c r="A30" s="66" t="s">
        <v>217</v>
      </c>
      <c r="B30" s="171"/>
      <c r="C30" s="172"/>
      <c r="D30" s="171"/>
      <c r="E30" s="171"/>
    </row>
    <row r="31" spans="1:6" ht="13" outlineLevel="1" x14ac:dyDescent="0.3">
      <c r="B31" s="55" t="s">
        <v>79</v>
      </c>
      <c r="C31" s="137" t="s">
        <v>250</v>
      </c>
      <c r="D31" s="43" t="s">
        <v>251</v>
      </c>
      <c r="F31" s="37"/>
    </row>
    <row r="32" spans="1:6" outlineLevel="1" x14ac:dyDescent="0.25">
      <c r="A32" s="2" t="s">
        <v>217</v>
      </c>
      <c r="B32" s="69" t="s">
        <v>253</v>
      </c>
      <c r="C32" s="136">
        <v>9</v>
      </c>
      <c r="D32" s="138">
        <v>419680.81445062504</v>
      </c>
      <c r="F32" s="107">
        <f>C32*D32</f>
        <v>3777127.3300556252</v>
      </c>
    </row>
    <row r="33" spans="1:6" outlineLevel="1" x14ac:dyDescent="0.25">
      <c r="B33" s="2" t="s">
        <v>81</v>
      </c>
      <c r="C33" s="136">
        <v>9</v>
      </c>
      <c r="D33" s="138">
        <v>64027.043409164078</v>
      </c>
      <c r="F33" s="107">
        <f t="shared" ref="F33:F34" si="0">C33*D33</f>
        <v>576243.39068247669</v>
      </c>
    </row>
    <row r="34" spans="1:6" outlineLevel="1" x14ac:dyDescent="0.25">
      <c r="B34" s="2" t="s">
        <v>167</v>
      </c>
      <c r="C34" s="112">
        <v>9</v>
      </c>
      <c r="D34" s="138">
        <v>51360.688013906263</v>
      </c>
      <c r="F34" s="107">
        <f t="shared" si="0"/>
        <v>462246.19212515635</v>
      </c>
    </row>
    <row r="35" spans="1:6" ht="13.5" outlineLevel="1" thickBot="1" x14ac:dyDescent="0.35">
      <c r="C35" s="112"/>
      <c r="D35" s="138"/>
      <c r="F35" s="65">
        <f>SUM(F32:F34)</f>
        <v>4815616.9128632583</v>
      </c>
    </row>
    <row r="36" spans="1:6" ht="13.5" outlineLevel="1" thickTop="1" thickBot="1" x14ac:dyDescent="0.3">
      <c r="C36" s="112"/>
      <c r="D36" s="138"/>
    </row>
    <row r="37" spans="1:6" ht="13" outlineLevel="1" x14ac:dyDescent="0.25">
      <c r="A37" s="66" t="s">
        <v>248</v>
      </c>
      <c r="B37" s="171"/>
      <c r="C37" s="172"/>
      <c r="D37" s="171"/>
      <c r="E37" s="171"/>
    </row>
    <row r="38" spans="1:6" ht="13.5" outlineLevel="1" thickBot="1" x14ac:dyDescent="0.35">
      <c r="A38" s="38" t="s">
        <v>238</v>
      </c>
      <c r="B38" s="37"/>
      <c r="C38" s="37"/>
      <c r="D38" s="43" t="s">
        <v>249</v>
      </c>
      <c r="E38" s="135">
        <v>648250.46507812501</v>
      </c>
      <c r="F38" s="65">
        <f>E38</f>
        <v>648250.46507812501</v>
      </c>
    </row>
    <row r="39" spans="1:6" ht="14" outlineLevel="1" thickTop="1" thickBot="1" x14ac:dyDescent="0.35">
      <c r="A39" s="38"/>
      <c r="B39" s="37"/>
      <c r="C39" s="37"/>
      <c r="D39" s="37"/>
      <c r="E39" s="107"/>
    </row>
    <row r="40" spans="1:6" ht="13" outlineLevel="1" x14ac:dyDescent="0.25">
      <c r="A40" s="66" t="s">
        <v>242</v>
      </c>
      <c r="B40" s="171"/>
      <c r="C40" s="172"/>
      <c r="D40" s="171"/>
      <c r="E40" s="171"/>
    </row>
    <row r="41" spans="1:6" ht="13" outlineLevel="1" x14ac:dyDescent="0.3">
      <c r="A41" s="45"/>
      <c r="B41" s="45"/>
      <c r="F41" s="62" t="s">
        <v>111</v>
      </c>
    </row>
    <row r="42" spans="1:6" ht="13" outlineLevel="1" x14ac:dyDescent="0.3">
      <c r="A42" s="43" t="s">
        <v>108</v>
      </c>
      <c r="B42" s="43" t="s">
        <v>227</v>
      </c>
      <c r="C42" s="43" t="s">
        <v>243</v>
      </c>
      <c r="D42" s="125" t="s">
        <v>196</v>
      </c>
      <c r="E42" s="55" t="s">
        <v>150</v>
      </c>
      <c r="F42" s="63">
        <v>2.7503009100000009</v>
      </c>
    </row>
    <row r="43" spans="1:6" outlineLevel="1" x14ac:dyDescent="0.25">
      <c r="A43" s="118" t="s">
        <v>236</v>
      </c>
      <c r="B43" s="30" t="s">
        <v>231</v>
      </c>
      <c r="C43" s="52">
        <v>16</v>
      </c>
      <c r="D43" s="121">
        <v>4000</v>
      </c>
      <c r="E43" s="9">
        <f>C43*D43</f>
        <v>64000</v>
      </c>
      <c r="F43" s="41">
        <f>E43*F$42</f>
        <v>176019.25824000005</v>
      </c>
    </row>
    <row r="44" spans="1:6" outlineLevel="1" x14ac:dyDescent="0.25">
      <c r="A44" s="118" t="s">
        <v>241</v>
      </c>
      <c r="B44" s="30" t="s">
        <v>232</v>
      </c>
      <c r="C44" s="52">
        <v>6</v>
      </c>
      <c r="D44" s="121">
        <v>2000</v>
      </c>
      <c r="E44" s="9">
        <f t="shared" ref="E44:E46" si="1">C44*D44</f>
        <v>12000</v>
      </c>
      <c r="F44" s="41">
        <f t="shared" ref="F44:F46" si="2">E44*F$42</f>
        <v>33003.610920000014</v>
      </c>
    </row>
    <row r="45" spans="1:6" outlineLevel="1" x14ac:dyDescent="0.25">
      <c r="A45" s="118" t="s">
        <v>237</v>
      </c>
      <c r="B45" s="30" t="s">
        <v>233</v>
      </c>
      <c r="C45" s="52">
        <v>20</v>
      </c>
      <c r="D45" s="121">
        <v>3000</v>
      </c>
      <c r="E45" s="9">
        <f t="shared" si="1"/>
        <v>60000</v>
      </c>
      <c r="F45" s="41">
        <f t="shared" si="2"/>
        <v>165018.05460000006</v>
      </c>
    </row>
    <row r="46" spans="1:6" outlineLevel="1" x14ac:dyDescent="0.25">
      <c r="A46" s="118" t="s">
        <v>239</v>
      </c>
      <c r="B46" s="30" t="s">
        <v>231</v>
      </c>
      <c r="C46" s="52">
        <v>4</v>
      </c>
      <c r="D46" s="127">
        <v>48100</v>
      </c>
      <c r="E46" s="9">
        <f t="shared" si="1"/>
        <v>192400</v>
      </c>
      <c r="F46" s="41">
        <f t="shared" si="2"/>
        <v>529157.89508400019</v>
      </c>
    </row>
    <row r="47" spans="1:6" ht="13.5" outlineLevel="1" thickBot="1" x14ac:dyDescent="0.35">
      <c r="B47" s="45"/>
      <c r="C47" s="2"/>
      <c r="E47" s="64" t="s">
        <v>114</v>
      </c>
      <c r="F47" s="65">
        <f>SUM(F43:F46)</f>
        <v>903198.81884400034</v>
      </c>
    </row>
    <row r="48" spans="1:6" ht="14" outlineLevel="1" thickTop="1" thickBot="1" x14ac:dyDescent="0.35">
      <c r="B48" s="45"/>
      <c r="C48" s="2"/>
      <c r="E48" s="64"/>
    </row>
    <row r="49" spans="1:6" ht="13" outlineLevel="1" x14ac:dyDescent="0.25">
      <c r="A49" s="66" t="s">
        <v>291</v>
      </c>
      <c r="B49" s="171"/>
      <c r="C49" s="172"/>
      <c r="D49" s="171"/>
      <c r="E49" s="171"/>
    </row>
    <row r="50" spans="1:6" ht="13" outlineLevel="1" x14ac:dyDescent="0.3">
      <c r="A50" s="43" t="s">
        <v>108</v>
      </c>
      <c r="B50" s="43" t="s">
        <v>227</v>
      </c>
      <c r="C50" s="43" t="s">
        <v>243</v>
      </c>
      <c r="D50" s="43" t="s">
        <v>197</v>
      </c>
    </row>
    <row r="51" spans="1:6" outlineLevel="1" x14ac:dyDescent="0.25">
      <c r="A51" s="118" t="s">
        <v>236</v>
      </c>
      <c r="B51" s="30" t="s">
        <v>231</v>
      </c>
      <c r="C51" s="52">
        <v>16</v>
      </c>
      <c r="D51" s="41">
        <v>12456.0461025</v>
      </c>
      <c r="F51" s="41">
        <f>C51*D51</f>
        <v>199296.73764000001</v>
      </c>
    </row>
    <row r="52" spans="1:6" outlineLevel="1" x14ac:dyDescent="0.25">
      <c r="A52" s="118" t="s">
        <v>241</v>
      </c>
      <c r="B52" s="30" t="s">
        <v>232</v>
      </c>
      <c r="C52" s="52">
        <v>6</v>
      </c>
      <c r="D52" s="41">
        <v>6206.3394120000003</v>
      </c>
      <c r="E52" s="9"/>
      <c r="F52" s="41">
        <f t="shared" ref="F52:F54" si="3">C52*D52</f>
        <v>37238.036472</v>
      </c>
    </row>
    <row r="53" spans="1:6" outlineLevel="1" x14ac:dyDescent="0.25">
      <c r="A53" s="118" t="s">
        <v>237</v>
      </c>
      <c r="B53" s="30" t="s">
        <v>233</v>
      </c>
      <c r="C53" s="52">
        <v>20</v>
      </c>
      <c r="D53" s="41">
        <v>9309.5091179999999</v>
      </c>
      <c r="E53" s="9"/>
      <c r="F53" s="41">
        <f t="shared" si="3"/>
        <v>186190.18236000001</v>
      </c>
    </row>
    <row r="54" spans="1:6" outlineLevel="1" x14ac:dyDescent="0.25">
      <c r="A54" s="118" t="s">
        <v>239</v>
      </c>
      <c r="B54" s="30" t="s">
        <v>231</v>
      </c>
      <c r="C54" s="52">
        <v>4</v>
      </c>
      <c r="D54" s="41">
        <v>171289.90825537505</v>
      </c>
      <c r="E54" s="9"/>
      <c r="F54" s="41">
        <f t="shared" si="3"/>
        <v>685159.63302150019</v>
      </c>
    </row>
    <row r="55" spans="1:6" ht="13.5" outlineLevel="1" thickBot="1" x14ac:dyDescent="0.35">
      <c r="B55" s="45"/>
      <c r="C55" s="2"/>
      <c r="F55" s="65">
        <f>SUM(F51:F54)</f>
        <v>1107884.5894935001</v>
      </c>
    </row>
    <row r="56" spans="1:6" ht="13.5" outlineLevel="1" thickTop="1" thickBot="1" x14ac:dyDescent="0.3">
      <c r="B56" s="45"/>
      <c r="C56" s="2"/>
    </row>
    <row r="57" spans="1:6" ht="13" outlineLevel="1" x14ac:dyDescent="0.25">
      <c r="A57" s="66" t="s">
        <v>752</v>
      </c>
      <c r="B57" s="171"/>
      <c r="C57" s="172"/>
      <c r="D57" s="171"/>
      <c r="E57" s="171"/>
    </row>
    <row r="58" spans="1:6" ht="13" outlineLevel="1" x14ac:dyDescent="0.3">
      <c r="F58" s="62" t="s">
        <v>245</v>
      </c>
    </row>
    <row r="59" spans="1:6" ht="13" outlineLevel="1" x14ac:dyDescent="0.3">
      <c r="A59" s="43" t="s">
        <v>108</v>
      </c>
      <c r="B59" s="43" t="s">
        <v>227</v>
      </c>
      <c r="C59" s="43" t="s">
        <v>148</v>
      </c>
      <c r="D59" s="43" t="s">
        <v>195</v>
      </c>
      <c r="E59" s="43" t="s">
        <v>113</v>
      </c>
      <c r="F59" s="340">
        <v>1617.840417375</v>
      </c>
    </row>
    <row r="60" spans="1:6" outlineLevel="1" x14ac:dyDescent="0.25">
      <c r="A60" s="101" t="s">
        <v>194</v>
      </c>
      <c r="B60" s="17" t="s">
        <v>194</v>
      </c>
      <c r="C60" s="61">
        <v>8</v>
      </c>
      <c r="D60" s="132">
        <v>8.8000000000000007</v>
      </c>
      <c r="E60" s="4">
        <f>C60*D60</f>
        <v>70.400000000000006</v>
      </c>
      <c r="F60" s="41">
        <f>E60*F$59</f>
        <v>113895.9653832</v>
      </c>
    </row>
    <row r="61" spans="1:6" outlineLevel="1" x14ac:dyDescent="0.25">
      <c r="A61" s="101" t="s">
        <v>236</v>
      </c>
      <c r="B61" s="17" t="s">
        <v>236</v>
      </c>
      <c r="C61" s="61">
        <v>16</v>
      </c>
      <c r="D61" s="132">
        <v>8</v>
      </c>
      <c r="E61" s="4">
        <f t="shared" ref="E61:E65" si="4">C61*D61</f>
        <v>128</v>
      </c>
      <c r="F61" s="41">
        <f t="shared" ref="F61:F65" si="5">E61*F$59</f>
        <v>207083.573424</v>
      </c>
    </row>
    <row r="62" spans="1:6" outlineLevel="1" x14ac:dyDescent="0.25">
      <c r="A62" s="101" t="s">
        <v>241</v>
      </c>
      <c r="B62" s="17" t="s">
        <v>241</v>
      </c>
      <c r="C62" s="61">
        <v>6</v>
      </c>
      <c r="D62" s="132">
        <v>8</v>
      </c>
      <c r="E62" s="4">
        <f t="shared" si="4"/>
        <v>48</v>
      </c>
      <c r="F62" s="41">
        <f t="shared" si="5"/>
        <v>77656.340033999993</v>
      </c>
    </row>
    <row r="63" spans="1:6" outlineLevel="1" x14ac:dyDescent="0.25">
      <c r="A63" s="101" t="s">
        <v>237</v>
      </c>
      <c r="B63" s="17" t="s">
        <v>237</v>
      </c>
      <c r="C63" s="61">
        <v>20</v>
      </c>
      <c r="D63" s="132">
        <v>9.6</v>
      </c>
      <c r="E63" s="4">
        <f t="shared" si="4"/>
        <v>192</v>
      </c>
      <c r="F63" s="41">
        <f t="shared" si="5"/>
        <v>310625.36013599997</v>
      </c>
    </row>
    <row r="64" spans="1:6" outlineLevel="1" x14ac:dyDescent="0.25">
      <c r="A64" s="101" t="s">
        <v>239</v>
      </c>
      <c r="B64" s="17" t="s">
        <v>239</v>
      </c>
      <c r="C64" s="61">
        <v>4</v>
      </c>
      <c r="D64" s="132">
        <v>41.5</v>
      </c>
      <c r="E64" s="4">
        <f t="shared" si="4"/>
        <v>166</v>
      </c>
      <c r="F64" s="41">
        <f t="shared" si="5"/>
        <v>268561.50928425003</v>
      </c>
    </row>
    <row r="65" spans="1:6" outlineLevel="1" x14ac:dyDescent="0.25">
      <c r="A65" s="101" t="s">
        <v>235</v>
      </c>
      <c r="B65" s="17" t="s">
        <v>199</v>
      </c>
      <c r="C65" s="61">
        <v>1</v>
      </c>
      <c r="D65" s="132">
        <v>36</v>
      </c>
      <c r="E65" s="4">
        <f t="shared" si="4"/>
        <v>36</v>
      </c>
      <c r="F65" s="41">
        <f t="shared" si="5"/>
        <v>58242.255025500002</v>
      </c>
    </row>
    <row r="66" spans="1:6" ht="13.5" outlineLevel="1" thickBot="1" x14ac:dyDescent="0.35">
      <c r="B66" s="45"/>
      <c r="C66" s="2"/>
      <c r="F66" s="65">
        <f>SUM(F60:F65)</f>
        <v>1036065.0032869501</v>
      </c>
    </row>
    <row r="67" spans="1:6" ht="13.5" outlineLevel="1" thickTop="1" thickBot="1" x14ac:dyDescent="0.3"/>
    <row r="68" spans="1:6" ht="13" outlineLevel="1" x14ac:dyDescent="0.25">
      <c r="A68" s="66" t="s">
        <v>218</v>
      </c>
      <c r="B68" s="171"/>
      <c r="C68" s="172"/>
      <c r="D68" s="171"/>
      <c r="E68" s="171"/>
    </row>
    <row r="69" spans="1:6" ht="26" outlineLevel="1" x14ac:dyDescent="0.3">
      <c r="A69" s="43" t="s">
        <v>108</v>
      </c>
      <c r="B69" s="43" t="s">
        <v>163</v>
      </c>
      <c r="C69" s="43" t="s">
        <v>170</v>
      </c>
      <c r="D69" s="43" t="s">
        <v>84</v>
      </c>
      <c r="E69" s="133" t="s">
        <v>193</v>
      </c>
    </row>
    <row r="70" spans="1:6" outlineLevel="1" x14ac:dyDescent="0.25">
      <c r="A70" s="101" t="s">
        <v>194</v>
      </c>
      <c r="B70" s="30" t="s">
        <v>231</v>
      </c>
      <c r="C70" s="98">
        <v>8</v>
      </c>
      <c r="D70" s="41">
        <v>403269.40382006258</v>
      </c>
      <c r="E70" s="41">
        <v>24695.255812500003</v>
      </c>
      <c r="F70" s="41">
        <f>C70*(D70+E70)</f>
        <v>3423717.2770605008</v>
      </c>
    </row>
    <row r="71" spans="1:6" outlineLevel="1" x14ac:dyDescent="0.25">
      <c r="A71" s="101" t="s">
        <v>236</v>
      </c>
      <c r="B71" s="30" t="s">
        <v>231</v>
      </c>
      <c r="C71" s="98">
        <v>16</v>
      </c>
      <c r="D71" s="41">
        <v>44878.878351562511</v>
      </c>
      <c r="E71" s="41">
        <v>12347.627906250002</v>
      </c>
      <c r="F71" s="41">
        <f t="shared" ref="F71:F75" si="6">C71*(D71+E71)</f>
        <v>915624.10012500023</v>
      </c>
    </row>
    <row r="72" spans="1:6" outlineLevel="1" x14ac:dyDescent="0.25">
      <c r="A72" s="101" t="s">
        <v>241</v>
      </c>
      <c r="B72" s="30" t="s">
        <v>232</v>
      </c>
      <c r="C72" s="98">
        <v>6</v>
      </c>
      <c r="D72" s="41">
        <v>53854.654021875009</v>
      </c>
      <c r="E72" s="41">
        <v>18521.441859375002</v>
      </c>
      <c r="F72" s="41">
        <f t="shared" si="6"/>
        <v>434256.57528750011</v>
      </c>
    </row>
    <row r="73" spans="1:6" outlineLevel="1" x14ac:dyDescent="0.25">
      <c r="A73" s="101" t="s">
        <v>237</v>
      </c>
      <c r="B73" s="30" t="s">
        <v>233</v>
      </c>
      <c r="C73" s="98">
        <v>20</v>
      </c>
      <c r="D73" s="41">
        <v>13880.865064500003</v>
      </c>
      <c r="E73" s="41">
        <v>0</v>
      </c>
      <c r="F73" s="41">
        <f t="shared" si="6"/>
        <v>277617.30129000009</v>
      </c>
    </row>
    <row r="74" spans="1:6" outlineLevel="1" x14ac:dyDescent="0.25">
      <c r="A74" s="101" t="s">
        <v>240</v>
      </c>
      <c r="B74" s="30" t="s">
        <v>215</v>
      </c>
      <c r="C74" s="98">
        <v>0</v>
      </c>
      <c r="D74" s="89">
        <v>0</v>
      </c>
      <c r="E74" s="41"/>
      <c r="F74" s="41">
        <f t="shared" si="6"/>
        <v>0</v>
      </c>
    </row>
    <row r="75" spans="1:6" outlineLevel="1" x14ac:dyDescent="0.25">
      <c r="A75" s="101" t="s">
        <v>283</v>
      </c>
      <c r="B75" s="30" t="s">
        <v>198</v>
      </c>
      <c r="C75" s="98">
        <v>0</v>
      </c>
      <c r="D75" s="89">
        <v>0</v>
      </c>
      <c r="E75" s="41"/>
      <c r="F75" s="41">
        <f t="shared" si="6"/>
        <v>0</v>
      </c>
    </row>
    <row r="76" spans="1:6" ht="13.5" outlineLevel="1" thickBot="1" x14ac:dyDescent="0.35">
      <c r="F76" s="65">
        <f>SUM(F70:F75)</f>
        <v>5051215.2537630014</v>
      </c>
    </row>
    <row r="77" spans="1:6" ht="13.5" outlineLevel="1" thickTop="1" thickBot="1" x14ac:dyDescent="0.3"/>
    <row r="78" spans="1:6" ht="13" outlineLevel="1" x14ac:dyDescent="0.25">
      <c r="A78" s="66" t="s">
        <v>292</v>
      </c>
      <c r="B78" s="171"/>
      <c r="C78" s="172"/>
      <c r="D78" s="171"/>
      <c r="E78" s="171"/>
    </row>
    <row r="79" spans="1:6" ht="13" outlineLevel="1" x14ac:dyDescent="0.3">
      <c r="A79" s="43" t="s">
        <v>108</v>
      </c>
      <c r="B79" s="43" t="s">
        <v>163</v>
      </c>
      <c r="C79" s="43" t="s">
        <v>170</v>
      </c>
      <c r="D79" s="43" t="s">
        <v>85</v>
      </c>
      <c r="F79" s="56"/>
    </row>
    <row r="80" spans="1:6" outlineLevel="1" x14ac:dyDescent="0.25">
      <c r="A80" s="57" t="s">
        <v>194</v>
      </c>
      <c r="B80" s="30" t="s">
        <v>231</v>
      </c>
      <c r="C80" s="123">
        <v>8</v>
      </c>
      <c r="D80" s="134">
        <v>18521.441859375002</v>
      </c>
      <c r="F80" s="41">
        <f>C80*D80</f>
        <v>148171.53487500001</v>
      </c>
    </row>
    <row r="81" spans="1:6" outlineLevel="1" x14ac:dyDescent="0.25">
      <c r="A81" s="57" t="s">
        <v>236</v>
      </c>
      <c r="B81" s="30" t="s">
        <v>231</v>
      </c>
      <c r="C81" s="123">
        <v>16</v>
      </c>
      <c r="D81" s="134">
        <v>18521.441859375002</v>
      </c>
      <c r="F81" s="41">
        <f t="shared" ref="F81:F84" si="7">C81*D81</f>
        <v>296343.06975000002</v>
      </c>
    </row>
    <row r="82" spans="1:6" outlineLevel="1" x14ac:dyDescent="0.25">
      <c r="A82" s="57" t="s">
        <v>241</v>
      </c>
      <c r="B82" s="30" t="s">
        <v>232</v>
      </c>
      <c r="C82" s="123">
        <v>6</v>
      </c>
      <c r="D82" s="134">
        <v>4939.0511624999999</v>
      </c>
      <c r="F82" s="41">
        <f t="shared" si="7"/>
        <v>29634.306975</v>
      </c>
    </row>
    <row r="83" spans="1:6" outlineLevel="1" x14ac:dyDescent="0.25">
      <c r="A83" s="57" t="s">
        <v>237</v>
      </c>
      <c r="B83" s="30" t="s">
        <v>233</v>
      </c>
      <c r="C83" s="123">
        <v>20</v>
      </c>
      <c r="D83" s="134">
        <v>16039.869811875002</v>
      </c>
      <c r="F83" s="41">
        <f t="shared" si="7"/>
        <v>320797.39623750001</v>
      </c>
    </row>
    <row r="84" spans="1:6" outlineLevel="1" x14ac:dyDescent="0.25">
      <c r="A84" s="57" t="s">
        <v>260</v>
      </c>
      <c r="B84" s="30"/>
      <c r="C84" s="123">
        <v>4</v>
      </c>
      <c r="D84" s="134">
        <v>39865.370761124999</v>
      </c>
      <c r="F84" s="41">
        <f t="shared" si="7"/>
        <v>159461.4830445</v>
      </c>
    </row>
    <row r="85" spans="1:6" ht="13.5" outlineLevel="1" thickBot="1" x14ac:dyDescent="0.35">
      <c r="C85" s="2"/>
      <c r="F85" s="162">
        <f>SUM(F80:F84)</f>
        <v>954407.790882</v>
      </c>
    </row>
    <row r="86" spans="1:6" ht="13.5" outlineLevel="1" thickTop="1" thickBot="1" x14ac:dyDescent="0.3">
      <c r="C86" s="2"/>
      <c r="F86" s="56"/>
    </row>
    <row r="87" spans="1:6" ht="13" outlineLevel="1" x14ac:dyDescent="0.25">
      <c r="A87" s="66" t="s">
        <v>247</v>
      </c>
      <c r="B87" s="171"/>
      <c r="C87" s="172"/>
      <c r="D87" s="171"/>
      <c r="E87" s="171"/>
    </row>
    <row r="88" spans="1:6" ht="13" outlineLevel="1" x14ac:dyDescent="0.3">
      <c r="A88" s="43" t="s">
        <v>108</v>
      </c>
      <c r="C88" s="43" t="s">
        <v>170</v>
      </c>
      <c r="D88" s="43" t="s">
        <v>246</v>
      </c>
    </row>
    <row r="89" spans="1:6" ht="13.5" outlineLevel="1" thickBot="1" x14ac:dyDescent="0.35">
      <c r="A89" s="101" t="s">
        <v>199</v>
      </c>
      <c r="B89" s="17" t="s">
        <v>231</v>
      </c>
      <c r="C89" s="9">
        <v>1</v>
      </c>
      <c r="D89" s="41">
        <v>1391786.0689005</v>
      </c>
      <c r="F89" s="65">
        <f>C89*D89</f>
        <v>1391786.0689005</v>
      </c>
    </row>
    <row r="90" spans="1:6" ht="13.5" outlineLevel="1" thickTop="1" thickBot="1" x14ac:dyDescent="0.3">
      <c r="A90" s="101"/>
      <c r="B90" s="30"/>
      <c r="C90" s="9"/>
      <c r="D90" s="41"/>
    </row>
    <row r="91" spans="1:6" ht="13" outlineLevel="1" x14ac:dyDescent="0.25">
      <c r="A91" s="66" t="s">
        <v>220</v>
      </c>
      <c r="B91" s="171"/>
      <c r="C91" s="172"/>
      <c r="D91" s="171"/>
      <c r="E91" s="171"/>
    </row>
    <row r="92" spans="1:6" ht="13" outlineLevel="1" x14ac:dyDescent="0.3">
      <c r="A92" s="43" t="s">
        <v>108</v>
      </c>
      <c r="C92" s="43" t="s">
        <v>170</v>
      </c>
      <c r="D92" s="43" t="s">
        <v>84</v>
      </c>
      <c r="E92" s="43" t="s">
        <v>85</v>
      </c>
    </row>
    <row r="93" spans="1:6" ht="13.5" outlineLevel="1" thickBot="1" x14ac:dyDescent="0.35">
      <c r="A93" s="101" t="s">
        <v>203</v>
      </c>
      <c r="B93" s="30" t="s">
        <v>231</v>
      </c>
      <c r="C93" s="98">
        <v>10</v>
      </c>
      <c r="D93" s="41">
        <v>60194.987204625002</v>
      </c>
      <c r="E93" s="41">
        <v>120389.97440925</v>
      </c>
      <c r="F93" s="65">
        <f>C93*(D93+E93)</f>
        <v>1805849.61613875</v>
      </c>
    </row>
    <row r="94" spans="1:6" ht="13.5" outlineLevel="1" thickTop="1" thickBot="1" x14ac:dyDescent="0.3">
      <c r="A94" s="50"/>
      <c r="B94" s="50"/>
      <c r="C94" s="49"/>
      <c r="D94" s="50"/>
      <c r="E94" s="50"/>
    </row>
    <row r="95" spans="1:6" ht="13" outlineLevel="1" x14ac:dyDescent="0.3">
      <c r="A95" s="124" t="s">
        <v>221</v>
      </c>
      <c r="B95" s="59"/>
      <c r="C95" s="60"/>
      <c r="D95" s="59"/>
      <c r="E95" s="59"/>
    </row>
    <row r="96" spans="1:6" ht="13" outlineLevel="1" x14ac:dyDescent="0.3">
      <c r="A96" s="43" t="s">
        <v>108</v>
      </c>
      <c r="C96" s="43" t="s">
        <v>170</v>
      </c>
      <c r="D96" s="43" t="s">
        <v>201</v>
      </c>
    </row>
    <row r="97" spans="1:6" ht="13.5" outlineLevel="1" thickBot="1" x14ac:dyDescent="0.35">
      <c r="A97" s="101" t="s">
        <v>199</v>
      </c>
      <c r="B97" s="30" t="s">
        <v>231</v>
      </c>
      <c r="C97" s="9">
        <v>1</v>
      </c>
      <c r="D97" s="41">
        <v>185214.41859375002</v>
      </c>
      <c r="F97" s="65">
        <f>C97*D97</f>
        <v>185214.41859375002</v>
      </c>
    </row>
    <row r="98" spans="1:6" ht="13.5" outlineLevel="1" thickTop="1" thickBot="1" x14ac:dyDescent="0.3">
      <c r="A98" s="50"/>
      <c r="B98" s="50"/>
      <c r="C98" s="49"/>
      <c r="D98" s="50"/>
      <c r="E98" s="50"/>
    </row>
    <row r="99" spans="1:6" ht="13" outlineLevel="1" x14ac:dyDescent="0.3">
      <c r="A99" s="131" t="s">
        <v>222</v>
      </c>
      <c r="B99" s="59"/>
      <c r="C99" s="60"/>
      <c r="D99" s="59"/>
      <c r="E99" s="59"/>
    </row>
    <row r="100" spans="1:6" ht="13" outlineLevel="1" x14ac:dyDescent="0.3">
      <c r="A100" s="43" t="s">
        <v>108</v>
      </c>
      <c r="C100" s="43" t="s">
        <v>170</v>
      </c>
      <c r="D100" s="43" t="s">
        <v>84</v>
      </c>
      <c r="E100" s="43" t="s">
        <v>85</v>
      </c>
    </row>
    <row r="101" spans="1:6" outlineLevel="1" x14ac:dyDescent="0.25">
      <c r="A101" s="101" t="s">
        <v>204</v>
      </c>
      <c r="B101" s="30" t="s">
        <v>214</v>
      </c>
      <c r="C101" s="98">
        <v>48000</v>
      </c>
      <c r="D101" s="54">
        <v>4.9390511625000002</v>
      </c>
      <c r="E101" s="54">
        <v>6.1738139531250011</v>
      </c>
      <c r="F101" s="9">
        <f>C101*(D101+E101)</f>
        <v>533417.52555000014</v>
      </c>
    </row>
    <row r="102" spans="1:6" outlineLevel="1" x14ac:dyDescent="0.25">
      <c r="A102" s="101" t="s">
        <v>205</v>
      </c>
      <c r="B102" s="30" t="s">
        <v>214</v>
      </c>
      <c r="C102" s="98">
        <v>4800</v>
      </c>
      <c r="D102" s="54">
        <v>3.7042883718750006</v>
      </c>
      <c r="E102" s="54">
        <v>49.390511625000009</v>
      </c>
      <c r="F102" s="9">
        <f t="shared" ref="F102:F103" si="8">C102*(D102+E102)</f>
        <v>254855.03998500004</v>
      </c>
    </row>
    <row r="103" spans="1:6" outlineLevel="1" x14ac:dyDescent="0.25">
      <c r="A103" s="101" t="s">
        <v>206</v>
      </c>
      <c r="B103" s="30" t="s">
        <v>234</v>
      </c>
      <c r="C103" s="98">
        <v>480</v>
      </c>
      <c r="D103" s="54">
        <v>61.436977875000004</v>
      </c>
      <c r="E103" s="54">
        <v>246.95255812500002</v>
      </c>
      <c r="F103" s="9">
        <f t="shared" si="8"/>
        <v>148026.97728000002</v>
      </c>
    </row>
    <row r="104" spans="1:6" ht="13.5" outlineLevel="1" thickBot="1" x14ac:dyDescent="0.35">
      <c r="A104" s="101"/>
      <c r="B104" s="30"/>
      <c r="C104" s="98"/>
      <c r="D104" s="41"/>
      <c r="E104" s="41"/>
      <c r="F104" s="65">
        <f>SUM(F101:F103)</f>
        <v>936299.54281500017</v>
      </c>
    </row>
    <row r="105" spans="1:6" ht="13" thickTop="1" x14ac:dyDescent="0.25"/>
    <row r="106" spans="1:6" x14ac:dyDescent="0.25">
      <c r="A106" s="53"/>
      <c r="B106" s="53"/>
      <c r="C106" s="160"/>
      <c r="D106" s="53"/>
      <c r="E106" s="53"/>
      <c r="F106" s="53"/>
    </row>
    <row r="107" spans="1:6" x14ac:dyDescent="0.25">
      <c r="C107" s="2"/>
      <c r="D107" s="100" t="s">
        <v>54</v>
      </c>
      <c r="E107" s="103">
        <v>5.5E-2</v>
      </c>
      <c r="F107" s="9">
        <f>SUM(F$110:F$121)*E107</f>
        <v>1055049.6563659469</v>
      </c>
    </row>
    <row r="108" spans="1:6" ht="37.5" x14ac:dyDescent="0.25">
      <c r="C108" s="2"/>
      <c r="D108" s="100" t="s">
        <v>55</v>
      </c>
      <c r="E108" s="103">
        <v>0.03</v>
      </c>
      <c r="F108" s="9">
        <f t="shared" ref="F108:F109" si="9">SUM(F$110:F$121)*E108</f>
        <v>575481.63074506191</v>
      </c>
    </row>
    <row r="109" spans="1:6" ht="25" x14ac:dyDescent="0.25">
      <c r="C109" s="38"/>
      <c r="D109" s="100" t="s">
        <v>145</v>
      </c>
      <c r="E109" s="103">
        <v>1.4999999999999999E-2</v>
      </c>
      <c r="F109" s="9">
        <f t="shared" si="9"/>
        <v>287740.81537253095</v>
      </c>
    </row>
    <row r="110" spans="1:6" ht="25" x14ac:dyDescent="0.25">
      <c r="C110" s="2"/>
      <c r="D110" s="38" t="s">
        <v>216</v>
      </c>
      <c r="E110" s="128"/>
      <c r="F110" s="9">
        <f>F28</f>
        <v>346932.54417656251</v>
      </c>
    </row>
    <row r="111" spans="1:6" x14ac:dyDescent="0.25">
      <c r="C111" s="2"/>
      <c r="D111" s="38" t="s">
        <v>217</v>
      </c>
      <c r="E111" s="129"/>
      <c r="F111" s="9">
        <f>F35</f>
        <v>4815616.9128632583</v>
      </c>
    </row>
    <row r="112" spans="1:6" x14ac:dyDescent="0.25">
      <c r="C112" s="2"/>
      <c r="D112" s="38" t="s">
        <v>266</v>
      </c>
      <c r="E112" s="129"/>
      <c r="F112" s="9">
        <f>F38</f>
        <v>648250.46507812501</v>
      </c>
    </row>
    <row r="113" spans="3:6" ht="25" x14ac:dyDescent="0.25">
      <c r="C113" s="2"/>
      <c r="D113" s="38" t="s">
        <v>242</v>
      </c>
      <c r="E113" s="129"/>
      <c r="F113" s="9">
        <f>F47</f>
        <v>903198.81884400034</v>
      </c>
    </row>
    <row r="114" spans="3:6" ht="25" x14ac:dyDescent="0.25">
      <c r="C114" s="2"/>
      <c r="D114" s="38" t="s">
        <v>244</v>
      </c>
      <c r="E114" s="129"/>
      <c r="F114" s="9">
        <f>F55</f>
        <v>1107884.5894935001</v>
      </c>
    </row>
    <row r="115" spans="3:6" x14ac:dyDescent="0.25">
      <c r="C115" s="2"/>
      <c r="D115" s="38" t="s">
        <v>265</v>
      </c>
      <c r="E115" s="129"/>
      <c r="F115" s="9">
        <f>F66</f>
        <v>1036065.0032869501</v>
      </c>
    </row>
    <row r="116" spans="3:6" x14ac:dyDescent="0.25">
      <c r="C116" s="2"/>
      <c r="D116" s="38" t="s">
        <v>218</v>
      </c>
      <c r="E116" s="129"/>
      <c r="F116" s="9">
        <f>F76</f>
        <v>5051215.2537630014</v>
      </c>
    </row>
    <row r="117" spans="3:6" ht="25" x14ac:dyDescent="0.25">
      <c r="C117" s="2"/>
      <c r="D117" s="38" t="s">
        <v>219</v>
      </c>
      <c r="E117" s="129"/>
      <c r="F117" s="9">
        <f>F85</f>
        <v>954407.790882</v>
      </c>
    </row>
    <row r="118" spans="3:6" x14ac:dyDescent="0.25">
      <c r="C118" s="2"/>
      <c r="D118" s="38" t="s">
        <v>199</v>
      </c>
      <c r="E118" s="129"/>
      <c r="F118" s="9">
        <f>F89</f>
        <v>1391786.0689005</v>
      </c>
    </row>
    <row r="119" spans="3:6" x14ac:dyDescent="0.25">
      <c r="C119" s="2"/>
      <c r="D119" s="38" t="s">
        <v>220</v>
      </c>
      <c r="E119" s="129"/>
      <c r="F119" s="9">
        <f>F93</f>
        <v>1805849.61613875</v>
      </c>
    </row>
    <row r="120" spans="3:6" x14ac:dyDescent="0.25">
      <c r="C120" s="2"/>
      <c r="D120" s="38" t="s">
        <v>221</v>
      </c>
      <c r="E120" s="129"/>
      <c r="F120" s="9">
        <f>F97</f>
        <v>185214.41859375002</v>
      </c>
    </row>
    <row r="121" spans="3:6" ht="25" x14ac:dyDescent="0.25">
      <c r="C121" s="2"/>
      <c r="D121" s="38" t="s">
        <v>222</v>
      </c>
      <c r="E121" s="130"/>
      <c r="F121" s="102">
        <f>F104</f>
        <v>936299.54281500017</v>
      </c>
    </row>
    <row r="122" spans="3:6" x14ac:dyDescent="0.25">
      <c r="C122" s="38"/>
      <c r="D122" s="100" t="s">
        <v>175</v>
      </c>
      <c r="E122" s="38"/>
      <c r="F122" s="9">
        <f>SUM(F107:F121)</f>
        <v>21100993.127318934</v>
      </c>
    </row>
    <row r="123" spans="3:6" x14ac:dyDescent="0.25">
      <c r="C123" s="38"/>
      <c r="D123" s="100"/>
      <c r="E123" s="38"/>
      <c r="F123" s="9"/>
    </row>
    <row r="124" spans="3:6" x14ac:dyDescent="0.25">
      <c r="C124" s="38"/>
      <c r="D124" s="100" t="s">
        <v>176</v>
      </c>
      <c r="E124" s="103">
        <v>0.3</v>
      </c>
      <c r="F124" s="9">
        <f>F122*E124</f>
        <v>6330297.9381956803</v>
      </c>
    </row>
    <row r="125" spans="3:6" x14ac:dyDescent="0.25">
      <c r="C125" s="38"/>
      <c r="D125" s="100" t="s">
        <v>177</v>
      </c>
      <c r="E125" s="103">
        <v>7.4999999999999997E-2</v>
      </c>
      <c r="F125" s="102">
        <f>SUM(F122:F124)*E125</f>
        <v>2057346.8299135959</v>
      </c>
    </row>
    <row r="126" spans="3:6" ht="25" x14ac:dyDescent="0.25">
      <c r="C126" s="38"/>
      <c r="D126" s="100" t="s">
        <v>174</v>
      </c>
      <c r="E126" s="38"/>
      <c r="F126" s="9">
        <f>F124+F125</f>
        <v>8387644.768109276</v>
      </c>
    </row>
    <row r="127" spans="3:6" x14ac:dyDescent="0.25">
      <c r="C127" s="38"/>
      <c r="D127" s="100"/>
      <c r="E127" s="38"/>
      <c r="F127" s="9"/>
    </row>
    <row r="128" spans="3:6" ht="13.5" thickBot="1" x14ac:dyDescent="0.35">
      <c r="C128" s="38"/>
      <c r="D128" s="140" t="s">
        <v>653</v>
      </c>
      <c r="E128" s="141"/>
      <c r="F128" s="65">
        <f>F122+F126</f>
        <v>29488637.89542821</v>
      </c>
    </row>
    <row r="129" spans="5:6" ht="13" thickTop="1" x14ac:dyDescent="0.25">
      <c r="F129" s="161">
        <f>F128/1000000</f>
        <v>29.488637895428212</v>
      </c>
    </row>
    <row r="130" spans="5:6" x14ac:dyDescent="0.25">
      <c r="E130" s="45"/>
      <c r="F130" s="163"/>
    </row>
  </sheetData>
  <dataValidations count="2">
    <dataValidation type="list" allowBlank="1" showInputMessage="1" showErrorMessage="1" sqref="F1 F8" xr:uid="{71CDDFCF-719F-4088-A9FD-707743925491}">
      <formula1>#REF!</formula1>
    </dataValidation>
    <dataValidation type="list" allowBlank="1" showDropDown="1" showInputMessage="1" showErrorMessage="1" sqref="F2:F5 F7" xr:uid="{87E367E4-1431-4890-B8F7-99864D895E37}">
      <formula1>#REF!</formula1>
    </dataValidation>
  </dataValidation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9892-4502-4B2B-81B2-782E2721BBB2}">
  <sheetPr>
    <tabColor theme="5"/>
  </sheetPr>
  <dimension ref="A1:S131"/>
  <sheetViews>
    <sheetView zoomScale="90" zoomScaleNormal="90" workbookViewId="0">
      <pane ySplit="1" topLeftCell="A91" activePane="bottomLeft" state="frozen"/>
      <selection pane="bottomLeft" activeCell="E113" sqref="E113"/>
    </sheetView>
  </sheetViews>
  <sheetFormatPr defaultRowHeight="14.5" x14ac:dyDescent="0.35"/>
  <cols>
    <col min="1" max="1" width="36.54296875" bestFit="1" customWidth="1"/>
    <col min="3" max="3" width="12.1796875" bestFit="1" customWidth="1"/>
    <col min="4" max="4" width="36.54296875" bestFit="1" customWidth="1"/>
    <col min="5" max="5" width="37.453125" style="75" customWidth="1"/>
    <col min="6" max="6" width="5.54296875" style="75" customWidth="1"/>
    <col min="10" max="10" width="13.6328125" bestFit="1" customWidth="1"/>
  </cols>
  <sheetData>
    <row r="1" spans="1:19" ht="15" thickBot="1" x14ac:dyDescent="0.4">
      <c r="A1" s="67" t="s">
        <v>3</v>
      </c>
      <c r="B1" s="67" t="s">
        <v>68</v>
      </c>
      <c r="C1" s="67" t="s">
        <v>92</v>
      </c>
      <c r="D1" s="67" t="s">
        <v>95</v>
      </c>
      <c r="E1" s="67" t="s">
        <v>109</v>
      </c>
      <c r="F1" s="67" t="s">
        <v>119</v>
      </c>
      <c r="G1" s="67" t="s">
        <v>70</v>
      </c>
      <c r="H1" s="67" t="s">
        <v>71</v>
      </c>
      <c r="I1" s="67" t="s">
        <v>72</v>
      </c>
      <c r="J1" s="67" t="s">
        <v>73</v>
      </c>
      <c r="K1" s="67" t="s">
        <v>74</v>
      </c>
      <c r="L1" s="67" t="s">
        <v>75</v>
      </c>
      <c r="M1" s="67" t="s">
        <v>76</v>
      </c>
      <c r="N1" s="67" t="s">
        <v>272</v>
      </c>
      <c r="O1" s="67" t="s">
        <v>97</v>
      </c>
      <c r="P1" s="67" t="s">
        <v>98</v>
      </c>
      <c r="Q1" s="67" t="s">
        <v>99</v>
      </c>
      <c r="R1" s="67" t="s">
        <v>100</v>
      </c>
      <c r="S1" s="67" t="s">
        <v>278</v>
      </c>
    </row>
    <row r="2" spans="1:19" x14ac:dyDescent="0.35">
      <c r="A2" s="71" t="s">
        <v>22</v>
      </c>
      <c r="B2" t="s">
        <v>77</v>
      </c>
      <c r="C2" t="s">
        <v>117</v>
      </c>
      <c r="D2" t="s">
        <v>90</v>
      </c>
      <c r="E2" s="75" t="s">
        <v>662</v>
      </c>
      <c r="G2" s="68">
        <v>1.819228597033532</v>
      </c>
      <c r="H2" s="68">
        <v>2.0215666922131561</v>
      </c>
      <c r="I2" s="68">
        <v>2.1147780250956592</v>
      </c>
      <c r="J2" s="68">
        <v>2.1558345674216106</v>
      </c>
      <c r="K2" s="68">
        <v>2.299215312736508</v>
      </c>
      <c r="L2" s="68">
        <v>3.6677243868118992</v>
      </c>
      <c r="M2" s="68">
        <v>4.6493895885838583</v>
      </c>
      <c r="N2" s="68">
        <v>5.8796889631844635</v>
      </c>
    </row>
    <row r="3" spans="1:19" x14ac:dyDescent="0.35">
      <c r="A3" s="69" t="s">
        <v>23</v>
      </c>
      <c r="B3" t="s">
        <v>77</v>
      </c>
      <c r="C3" t="s">
        <v>117</v>
      </c>
      <c r="D3" t="s">
        <v>90</v>
      </c>
      <c r="E3" s="75" t="s">
        <v>663</v>
      </c>
      <c r="G3" s="68">
        <v>1.8362628436395223</v>
      </c>
      <c r="H3" s="68">
        <v>2.0407302196448951</v>
      </c>
      <c r="I3" s="68">
        <v>2.1350061929402728</v>
      </c>
      <c r="J3" s="68">
        <v>2.1771273756790981</v>
      </c>
      <c r="K3" s="68">
        <v>2.3258313230583672</v>
      </c>
      <c r="L3" s="68">
        <v>3.704986801262502</v>
      </c>
      <c r="M3" s="68">
        <v>4.6919752050988341</v>
      </c>
      <c r="N3" s="68">
        <v>5.9275977817638115</v>
      </c>
    </row>
    <row r="4" spans="1:19" x14ac:dyDescent="0.35">
      <c r="A4" s="69" t="s">
        <v>24</v>
      </c>
      <c r="B4" t="s">
        <v>77</v>
      </c>
      <c r="C4" t="s">
        <v>117</v>
      </c>
      <c r="D4" t="s">
        <v>90</v>
      </c>
      <c r="E4" s="75" t="s">
        <v>664</v>
      </c>
      <c r="G4" s="68">
        <v>1.7614037186495062</v>
      </c>
      <c r="H4" s="68">
        <v>1.9565137040311269</v>
      </c>
      <c r="I4" s="68">
        <v>2.0461109820146284</v>
      </c>
      <c r="J4" s="68">
        <v>2.0835534694415774</v>
      </c>
      <c r="K4" s="68">
        <v>2.2088639402614674</v>
      </c>
      <c r="L4" s="68">
        <v>3.5412324653468419</v>
      </c>
      <c r="M4" s="68">
        <v>4.5048273926237936</v>
      </c>
      <c r="N4" s="68">
        <v>5.717056492729391</v>
      </c>
    </row>
    <row r="5" spans="1:19" x14ac:dyDescent="0.35">
      <c r="A5" s="69" t="s">
        <v>25</v>
      </c>
      <c r="B5" t="s">
        <v>77</v>
      </c>
      <c r="C5" t="s">
        <v>117</v>
      </c>
      <c r="D5" t="s">
        <v>90</v>
      </c>
      <c r="E5" s="75" t="s">
        <v>665</v>
      </c>
      <c r="G5" s="68">
        <v>1.8124238722495059</v>
      </c>
      <c r="H5" s="68">
        <v>2.0139113768311265</v>
      </c>
      <c r="I5" s="68">
        <v>2.1066974144146284</v>
      </c>
      <c r="J5" s="68">
        <v>2.1473286614415774</v>
      </c>
      <c r="K5" s="68">
        <v>2.2885829302614678</v>
      </c>
      <c r="L5" s="68">
        <v>3.6528390513468416</v>
      </c>
      <c r="M5" s="68">
        <v>4.6323777766237928</v>
      </c>
      <c r="N5" s="68">
        <v>5.8605506747293914</v>
      </c>
    </row>
    <row r="6" spans="1:19" x14ac:dyDescent="0.35">
      <c r="A6" s="69" t="s">
        <v>26</v>
      </c>
      <c r="B6" t="s">
        <v>77</v>
      </c>
      <c r="C6" t="s">
        <v>117</v>
      </c>
      <c r="D6" t="s">
        <v>90</v>
      </c>
      <c r="E6" s="75" t="s">
        <v>666</v>
      </c>
      <c r="G6" s="68">
        <v>1.901627284732841</v>
      </c>
      <c r="H6" s="68">
        <v>2.1142652158748785</v>
      </c>
      <c r="I6" s="68">
        <v>2.2126264667385893</v>
      </c>
      <c r="J6" s="68">
        <v>2.2588329270457468</v>
      </c>
      <c r="K6" s="68">
        <v>2.4279632622666778</v>
      </c>
      <c r="L6" s="68">
        <v>3.8479715161541375</v>
      </c>
      <c r="M6" s="68">
        <v>4.8553863078321315</v>
      </c>
      <c r="N6" s="68">
        <v>6.1114352723387704</v>
      </c>
    </row>
    <row r="7" spans="1:19" x14ac:dyDescent="0.35">
      <c r="A7" s="69" t="s">
        <v>27</v>
      </c>
      <c r="B7" t="s">
        <v>77</v>
      </c>
      <c r="C7" t="s">
        <v>117</v>
      </c>
      <c r="D7" t="s">
        <v>90</v>
      </c>
      <c r="E7" s="75" t="s">
        <v>667</v>
      </c>
      <c r="G7" s="68">
        <v>2.056470182507498</v>
      </c>
      <c r="H7" s="68">
        <v>2.2884634758713678</v>
      </c>
      <c r="I7" s="68">
        <v>2.3965024078459933</v>
      </c>
      <c r="J7" s="68">
        <v>2.4523865492640673</v>
      </c>
      <c r="K7" s="68">
        <v>2.6699052900395799</v>
      </c>
      <c r="L7" s="68">
        <v>4.1866903550361991</v>
      </c>
      <c r="M7" s="68">
        <v>5.2424935522687726</v>
      </c>
      <c r="N7" s="68">
        <v>6.5469309223299916</v>
      </c>
    </row>
    <row r="8" spans="1:19" x14ac:dyDescent="0.35">
      <c r="A8" s="69" t="s">
        <v>28</v>
      </c>
      <c r="B8" t="s">
        <v>77</v>
      </c>
      <c r="C8" t="s">
        <v>117</v>
      </c>
      <c r="D8" t="s">
        <v>90</v>
      </c>
      <c r="E8" s="75" t="s">
        <v>668</v>
      </c>
      <c r="G8" s="68">
        <v>1.8804072461268506</v>
      </c>
      <c r="H8" s="68">
        <v>2.0903926724431394</v>
      </c>
      <c r="I8" s="68">
        <v>2.1874276708939755</v>
      </c>
      <c r="J8" s="68">
        <v>2.2323078787882591</v>
      </c>
      <c r="K8" s="68">
        <v>2.3948069519448181</v>
      </c>
      <c r="L8" s="68">
        <v>3.8015526817035337</v>
      </c>
      <c r="M8" s="68">
        <v>4.8023362113171553</v>
      </c>
      <c r="N8" s="68">
        <v>6.0517539137594216</v>
      </c>
    </row>
    <row r="9" spans="1:19" x14ac:dyDescent="0.35">
      <c r="A9" s="69" t="s">
        <v>29</v>
      </c>
      <c r="B9" t="s">
        <v>77</v>
      </c>
      <c r="C9" t="s">
        <v>117</v>
      </c>
      <c r="D9" t="s">
        <v>90</v>
      </c>
      <c r="E9" s="75" t="s">
        <v>669</v>
      </c>
      <c r="G9" s="68">
        <v>1.868281306239175</v>
      </c>
      <c r="H9" s="68">
        <v>2.0767509900695047</v>
      </c>
      <c r="I9" s="68">
        <v>2.1730281172773607</v>
      </c>
      <c r="J9" s="68">
        <v>2.2171504539286637</v>
      </c>
      <c r="K9" s="68">
        <v>2.3758601708703249</v>
      </c>
      <c r="L9" s="68">
        <v>3.775027188199243</v>
      </c>
      <c r="M9" s="68">
        <v>4.7720213615979654</v>
      </c>
      <c r="N9" s="68">
        <v>6.0176497078253348</v>
      </c>
    </row>
    <row r="10" spans="1:19" x14ac:dyDescent="0.35">
      <c r="A10" s="69" t="s">
        <v>30</v>
      </c>
      <c r="B10" t="s">
        <v>77</v>
      </c>
      <c r="C10" t="s">
        <v>117</v>
      </c>
      <c r="D10" t="s">
        <v>90</v>
      </c>
      <c r="E10" s="75" t="s">
        <v>670</v>
      </c>
      <c r="G10" s="68">
        <v>2.0464242817074978</v>
      </c>
      <c r="H10" s="68">
        <v>2.2771618374713678</v>
      </c>
      <c r="I10" s="68">
        <v>2.3845729006459937</v>
      </c>
      <c r="J10" s="68">
        <v>2.4398291732640671</v>
      </c>
      <c r="K10" s="68">
        <v>2.6542085700395801</v>
      </c>
      <c r="L10" s="68">
        <v>4.1647149470361997</v>
      </c>
      <c r="M10" s="68">
        <v>5.2173788002687722</v>
      </c>
      <c r="N10" s="68">
        <v>6.518676826329993</v>
      </c>
    </row>
    <row r="11" spans="1:19" x14ac:dyDescent="0.35">
      <c r="A11" s="69" t="s">
        <v>31</v>
      </c>
      <c r="B11" t="s">
        <v>77</v>
      </c>
      <c r="C11" t="s">
        <v>117</v>
      </c>
      <c r="D11" t="s">
        <v>90</v>
      </c>
      <c r="E11" s="75" t="s">
        <v>671</v>
      </c>
      <c r="G11" s="68">
        <v>1.7932766866335321</v>
      </c>
      <c r="H11" s="68">
        <v>1.9923707930131562</v>
      </c>
      <c r="I11" s="68">
        <v>2.0839601314956591</v>
      </c>
      <c r="J11" s="68">
        <v>2.1233946794216103</v>
      </c>
      <c r="K11" s="68">
        <v>2.258665452736508</v>
      </c>
      <c r="L11" s="68">
        <v>3.6109545828118987</v>
      </c>
      <c r="M11" s="68">
        <v>4.5845098125838586</v>
      </c>
      <c r="N11" s="68">
        <v>5.806699215184465</v>
      </c>
    </row>
    <row r="12" spans="1:19" x14ac:dyDescent="0.35">
      <c r="A12" s="69" t="s">
        <v>32</v>
      </c>
      <c r="B12" t="s">
        <v>77</v>
      </c>
      <c r="C12" t="s">
        <v>117</v>
      </c>
      <c r="D12" t="s">
        <v>90</v>
      </c>
      <c r="E12" s="75" t="s">
        <v>672</v>
      </c>
      <c r="G12" s="68">
        <v>1.6703900056515029</v>
      </c>
      <c r="H12" s="68">
        <v>1.8541232769083733</v>
      </c>
      <c r="I12" s="68">
        <v>1.9380321978294999</v>
      </c>
      <c r="J12" s="68">
        <v>1.969786328194074</v>
      </c>
      <c r="K12" s="68">
        <v>2.0666550137020869</v>
      </c>
      <c r="L12" s="68">
        <v>3.3421399681637092</v>
      </c>
      <c r="M12" s="68">
        <v>4.2772931101287845</v>
      </c>
      <c r="N12" s="68">
        <v>5.4610804249225078</v>
      </c>
    </row>
    <row r="13" spans="1:19" x14ac:dyDescent="0.35">
      <c r="A13" s="69" t="s">
        <v>33</v>
      </c>
      <c r="B13" t="s">
        <v>77</v>
      </c>
      <c r="C13" t="s">
        <v>117</v>
      </c>
      <c r="D13" t="s">
        <v>90</v>
      </c>
      <c r="E13" s="75" t="s">
        <v>673</v>
      </c>
      <c r="G13" s="68">
        <v>1.7015964651850179</v>
      </c>
      <c r="H13" s="68">
        <v>1.8892305438835779</v>
      </c>
      <c r="I13" s="68">
        <v>1.9750898685255494</v>
      </c>
      <c r="J13" s="68">
        <v>2.0087944026109681</v>
      </c>
      <c r="K13" s="68">
        <v>2.1154151067232059</v>
      </c>
      <c r="L13" s="68">
        <v>3.4104040983932751</v>
      </c>
      <c r="M13" s="68">
        <v>4.3553092589625733</v>
      </c>
      <c r="N13" s="68">
        <v>5.5488485923605193</v>
      </c>
    </row>
    <row r="14" spans="1:19" x14ac:dyDescent="0.35">
      <c r="A14" s="69" t="s">
        <v>34</v>
      </c>
      <c r="B14" t="s">
        <v>77</v>
      </c>
      <c r="C14" t="s">
        <v>117</v>
      </c>
      <c r="D14" t="s">
        <v>90</v>
      </c>
      <c r="E14" s="75" t="s">
        <v>674</v>
      </c>
      <c r="G14" s="68">
        <v>1.7004260041192452</v>
      </c>
      <c r="H14" s="68">
        <v>1.8879137751845836</v>
      </c>
      <c r="I14" s="68">
        <v>1.973699946009944</v>
      </c>
      <c r="J14" s="68">
        <v>2.0073313262787518</v>
      </c>
      <c r="K14" s="68">
        <v>2.113586261307935</v>
      </c>
      <c r="L14" s="68">
        <v>3.407843714811897</v>
      </c>
      <c r="M14" s="68">
        <v>4.3523831062981415</v>
      </c>
      <c r="N14" s="68">
        <v>5.545556670613033</v>
      </c>
    </row>
    <row r="15" spans="1:19" x14ac:dyDescent="0.35">
      <c r="A15" s="69" t="s">
        <v>4</v>
      </c>
      <c r="B15" t="s">
        <v>77</v>
      </c>
      <c r="C15" t="s">
        <v>117</v>
      </c>
      <c r="D15" t="s">
        <v>90</v>
      </c>
      <c r="E15" s="75" t="s">
        <v>675</v>
      </c>
      <c r="G15" s="68">
        <v>1.984718598438834</v>
      </c>
      <c r="H15" s="68">
        <v>2.2077429437941216</v>
      </c>
      <c r="I15" s="68">
        <v>2.3112974017644556</v>
      </c>
      <c r="J15" s="68">
        <v>2.3626970691782381</v>
      </c>
      <c r="K15" s="68">
        <v>2.5577934399322926</v>
      </c>
      <c r="L15" s="68">
        <v>4.0297337648859974</v>
      </c>
      <c r="M15" s="68">
        <v>5.063114592097115</v>
      </c>
      <c r="N15" s="68">
        <v>6.3451295921368764</v>
      </c>
    </row>
    <row r="16" spans="1:19" x14ac:dyDescent="0.35">
      <c r="A16" s="69" t="s">
        <v>35</v>
      </c>
      <c r="B16" t="s">
        <v>77</v>
      </c>
      <c r="C16" t="s">
        <v>117</v>
      </c>
      <c r="D16" t="s">
        <v>90</v>
      </c>
      <c r="E16" s="75" t="s">
        <v>676</v>
      </c>
      <c r="G16" s="68">
        <v>1.9877883511805321</v>
      </c>
      <c r="H16" s="68">
        <v>2.2100305793750628</v>
      </c>
      <c r="I16" s="68">
        <v>2.3128238524995637</v>
      </c>
      <c r="J16" s="68">
        <v>2.3610365308555785</v>
      </c>
      <c r="K16" s="68">
        <v>2.5373187950968514</v>
      </c>
      <c r="L16" s="68">
        <v>4.0219447481154864</v>
      </c>
      <c r="M16" s="68">
        <v>5.0755014435327546</v>
      </c>
      <c r="N16" s="68">
        <v>6.3892566919102336</v>
      </c>
    </row>
    <row r="17" spans="1:14" x14ac:dyDescent="0.35">
      <c r="A17" s="69" t="s">
        <v>22</v>
      </c>
      <c r="B17" t="s">
        <v>77</v>
      </c>
      <c r="C17" t="s">
        <v>117</v>
      </c>
      <c r="D17" t="s">
        <v>96</v>
      </c>
      <c r="E17" s="75" t="s">
        <v>677</v>
      </c>
      <c r="G17" s="68">
        <v>2.5915585711034055</v>
      </c>
      <c r="H17" s="68">
        <v>2.9259936287652248</v>
      </c>
      <c r="I17" s="68">
        <v>3.0929290047986826</v>
      </c>
      <c r="J17" s="68">
        <v>3.1682790624254311</v>
      </c>
      <c r="K17" s="68">
        <v>3.7202569340683298</v>
      </c>
      <c r="L17" s="68">
        <v>6.0991713746912453</v>
      </c>
      <c r="M17" s="190" t="s">
        <v>119</v>
      </c>
      <c r="N17" s="190" t="s">
        <v>119</v>
      </c>
    </row>
    <row r="18" spans="1:14" x14ac:dyDescent="0.35">
      <c r="A18" s="69" t="s">
        <v>23</v>
      </c>
      <c r="B18" t="s">
        <v>77</v>
      </c>
      <c r="C18" t="s">
        <v>117</v>
      </c>
      <c r="D18" t="s">
        <v>96</v>
      </c>
      <c r="E18" s="75" t="s">
        <v>678</v>
      </c>
      <c r="G18" s="68">
        <v>2.608592817709396</v>
      </c>
      <c r="H18" s="68">
        <v>2.9451571561969634</v>
      </c>
      <c r="I18" s="68">
        <v>3.1131571726432949</v>
      </c>
      <c r="J18" s="68">
        <v>3.1895718706829195</v>
      </c>
      <c r="K18" s="68">
        <v>3.7468729443901889</v>
      </c>
      <c r="L18" s="68">
        <v>6.136433789141849</v>
      </c>
      <c r="M18" s="190" t="s">
        <v>119</v>
      </c>
      <c r="N18" s="190" t="s">
        <v>119</v>
      </c>
    </row>
    <row r="19" spans="1:14" x14ac:dyDescent="0.35">
      <c r="A19" s="69" t="s">
        <v>24</v>
      </c>
      <c r="B19" t="s">
        <v>77</v>
      </c>
      <c r="C19" t="s">
        <v>117</v>
      </c>
      <c r="D19" t="s">
        <v>96</v>
      </c>
      <c r="E19" s="75" t="s">
        <v>679</v>
      </c>
      <c r="G19" s="68">
        <v>2.5337336927193799</v>
      </c>
      <c r="H19" s="68">
        <v>2.8609406405831961</v>
      </c>
      <c r="I19" s="68">
        <v>3.0242619617176509</v>
      </c>
      <c r="J19" s="68">
        <v>3.0959979644453992</v>
      </c>
      <c r="K19" s="68">
        <v>3.6299055615932891</v>
      </c>
      <c r="L19" s="68">
        <v>5.9726794532261884</v>
      </c>
      <c r="M19" s="190" t="s">
        <v>119</v>
      </c>
      <c r="N19" s="190" t="s">
        <v>119</v>
      </c>
    </row>
    <row r="20" spans="1:14" x14ac:dyDescent="0.35">
      <c r="A20" s="69" t="s">
        <v>25</v>
      </c>
      <c r="B20" t="s">
        <v>77</v>
      </c>
      <c r="C20" t="s">
        <v>117</v>
      </c>
      <c r="D20" t="s">
        <v>96</v>
      </c>
      <c r="E20" s="75" t="s">
        <v>680</v>
      </c>
      <c r="G20" s="68">
        <v>2.5847538463193809</v>
      </c>
      <c r="H20" s="68">
        <v>2.9183383133831957</v>
      </c>
      <c r="I20" s="68">
        <v>3.084848394117651</v>
      </c>
      <c r="J20" s="68">
        <v>3.1597731564453988</v>
      </c>
      <c r="K20" s="68">
        <v>3.7096245515932891</v>
      </c>
      <c r="L20" s="68">
        <v>6.0842860392261873</v>
      </c>
      <c r="M20" s="190" t="s">
        <v>119</v>
      </c>
      <c r="N20" s="190" t="s">
        <v>119</v>
      </c>
    </row>
    <row r="21" spans="1:14" x14ac:dyDescent="0.35">
      <c r="A21" s="69" t="s">
        <v>26</v>
      </c>
      <c r="B21" t="s">
        <v>77</v>
      </c>
      <c r="C21" t="s">
        <v>117</v>
      </c>
      <c r="D21" t="s">
        <v>96</v>
      </c>
      <c r="E21" s="75" t="s">
        <v>681</v>
      </c>
      <c r="G21" s="68">
        <v>2.673957258802715</v>
      </c>
      <c r="H21" s="68">
        <v>3.0186921524269477</v>
      </c>
      <c r="I21" s="68">
        <v>3.190777446441611</v>
      </c>
      <c r="J21" s="68">
        <v>3.2712774220495677</v>
      </c>
      <c r="K21" s="68">
        <v>3.8490048835984991</v>
      </c>
      <c r="L21" s="68">
        <v>6.2794185040334822</v>
      </c>
      <c r="M21" s="190" t="s">
        <v>119</v>
      </c>
      <c r="N21" s="190" t="s">
        <v>119</v>
      </c>
    </row>
    <row r="22" spans="1:14" x14ac:dyDescent="0.35">
      <c r="A22" s="69" t="s">
        <v>27</v>
      </c>
      <c r="B22" t="s">
        <v>77</v>
      </c>
      <c r="C22" t="s">
        <v>117</v>
      </c>
      <c r="D22" t="s">
        <v>96</v>
      </c>
      <c r="E22" s="75" t="s">
        <v>682</v>
      </c>
      <c r="G22" s="68">
        <v>2.8288001565773722</v>
      </c>
      <c r="H22" s="68">
        <v>3.192890412423437</v>
      </c>
      <c r="I22" s="68">
        <v>3.3746533875490163</v>
      </c>
      <c r="J22" s="68">
        <v>3.4648310442678887</v>
      </c>
      <c r="K22" s="68">
        <v>4.0909469113714003</v>
      </c>
      <c r="L22" s="68">
        <v>6.6181373429155439</v>
      </c>
      <c r="M22" s="190" t="s">
        <v>119</v>
      </c>
      <c r="N22" s="190" t="s">
        <v>119</v>
      </c>
    </row>
    <row r="23" spans="1:14" x14ac:dyDescent="0.35">
      <c r="A23" s="69" t="s">
        <v>28</v>
      </c>
      <c r="B23" t="s">
        <v>77</v>
      </c>
      <c r="C23" t="s">
        <v>117</v>
      </c>
      <c r="D23" t="s">
        <v>96</v>
      </c>
      <c r="E23" s="75" t="s">
        <v>683</v>
      </c>
      <c r="G23" s="68">
        <v>2.6527372201967245</v>
      </c>
      <c r="H23" s="68">
        <v>2.9948196089952086</v>
      </c>
      <c r="I23" s="68">
        <v>3.1655786505969976</v>
      </c>
      <c r="J23" s="68">
        <v>3.24475237379208</v>
      </c>
      <c r="K23" s="68">
        <v>3.8158485732766394</v>
      </c>
      <c r="L23" s="68">
        <v>6.2329996695828802</v>
      </c>
      <c r="M23" s="190" t="s">
        <v>119</v>
      </c>
      <c r="N23" s="190" t="s">
        <v>119</v>
      </c>
    </row>
    <row r="24" spans="1:14" x14ac:dyDescent="0.35">
      <c r="A24" s="69" t="s">
        <v>29</v>
      </c>
      <c r="B24" t="s">
        <v>77</v>
      </c>
      <c r="C24" t="s">
        <v>117</v>
      </c>
      <c r="D24" t="s">
        <v>96</v>
      </c>
      <c r="E24" s="75" t="s">
        <v>684</v>
      </c>
      <c r="G24" s="68">
        <v>2.6406112803090491</v>
      </c>
      <c r="H24" s="68">
        <v>2.981177926621573</v>
      </c>
      <c r="I24" s="68">
        <v>3.1511790969803832</v>
      </c>
      <c r="J24" s="68">
        <v>3.2295949489324851</v>
      </c>
      <c r="K24" s="68">
        <v>3.7969017922021457</v>
      </c>
      <c r="L24" s="68">
        <v>6.2064741760785891</v>
      </c>
      <c r="M24" s="190" t="s">
        <v>119</v>
      </c>
      <c r="N24" s="190" t="s">
        <v>119</v>
      </c>
    </row>
    <row r="25" spans="1:14" x14ac:dyDescent="0.35">
      <c r="A25" s="69" t="s">
        <v>30</v>
      </c>
      <c r="B25" t="s">
        <v>77</v>
      </c>
      <c r="C25" t="s">
        <v>117</v>
      </c>
      <c r="D25" t="s">
        <v>96</v>
      </c>
      <c r="E25" s="75" t="s">
        <v>685</v>
      </c>
      <c r="G25" s="68">
        <v>2.8187542557773715</v>
      </c>
      <c r="H25" s="68">
        <v>3.1815887740234365</v>
      </c>
      <c r="I25" s="68">
        <v>3.3627238803490167</v>
      </c>
      <c r="J25" s="68">
        <v>3.452273668267889</v>
      </c>
      <c r="K25" s="68">
        <v>4.0752501913714001</v>
      </c>
      <c r="L25" s="68">
        <v>6.5961619349155445</v>
      </c>
      <c r="M25" s="190" t="s">
        <v>119</v>
      </c>
      <c r="N25" s="190" t="s">
        <v>119</v>
      </c>
    </row>
    <row r="26" spans="1:14" x14ac:dyDescent="0.35">
      <c r="A26" s="69" t="s">
        <v>31</v>
      </c>
      <c r="B26" t="s">
        <v>77</v>
      </c>
      <c r="C26" t="s">
        <v>117</v>
      </c>
      <c r="D26" t="s">
        <v>96</v>
      </c>
      <c r="E26" s="75" t="s">
        <v>686</v>
      </c>
      <c r="G26" s="68">
        <v>2.5656066607034056</v>
      </c>
      <c r="H26" s="68">
        <v>2.8967977295652254</v>
      </c>
      <c r="I26" s="68">
        <v>3.0621111111986825</v>
      </c>
      <c r="J26" s="68">
        <v>3.1358391744254317</v>
      </c>
      <c r="K26" s="68">
        <v>3.6797070740683293</v>
      </c>
      <c r="L26" s="68">
        <v>6.0424015706912444</v>
      </c>
      <c r="M26" s="190" t="s">
        <v>119</v>
      </c>
      <c r="N26" s="190" t="s">
        <v>119</v>
      </c>
    </row>
    <row r="27" spans="1:14" x14ac:dyDescent="0.35">
      <c r="A27" s="69" t="s">
        <v>32</v>
      </c>
      <c r="B27" t="s">
        <v>77</v>
      </c>
      <c r="C27" t="s">
        <v>117</v>
      </c>
      <c r="D27" t="s">
        <v>96</v>
      </c>
      <c r="E27" s="75" t="s">
        <v>687</v>
      </c>
      <c r="G27" s="68">
        <v>2.4427199797213763</v>
      </c>
      <c r="H27" s="68">
        <v>2.7585502134604423</v>
      </c>
      <c r="I27" s="68">
        <v>2.9161831775325222</v>
      </c>
      <c r="J27" s="68">
        <v>2.9822308231978942</v>
      </c>
      <c r="K27" s="68">
        <v>3.4876966350339087</v>
      </c>
      <c r="L27" s="68">
        <v>5.7735869560430571</v>
      </c>
      <c r="M27" s="190" t="s">
        <v>119</v>
      </c>
      <c r="N27" s="190" t="s">
        <v>119</v>
      </c>
    </row>
    <row r="28" spans="1:14" x14ac:dyDescent="0.35">
      <c r="A28" s="69" t="s">
        <v>33</v>
      </c>
      <c r="B28" t="s">
        <v>77</v>
      </c>
      <c r="C28" t="s">
        <v>117</v>
      </c>
      <c r="D28" t="s">
        <v>96</v>
      </c>
      <c r="E28" s="75" t="s">
        <v>688</v>
      </c>
      <c r="G28" s="68">
        <v>2.4739264392548921</v>
      </c>
      <c r="H28" s="68">
        <v>2.7936574804356469</v>
      </c>
      <c r="I28" s="68">
        <v>2.9532408482285715</v>
      </c>
      <c r="J28" s="68">
        <v>3.021238897614789</v>
      </c>
      <c r="K28" s="68">
        <v>3.5364567280550263</v>
      </c>
      <c r="L28" s="68">
        <v>5.841851086272623</v>
      </c>
      <c r="M28" s="190" t="s">
        <v>119</v>
      </c>
      <c r="N28" s="190" t="s">
        <v>119</v>
      </c>
    </row>
    <row r="29" spans="1:14" x14ac:dyDescent="0.35">
      <c r="A29" s="69" t="s">
        <v>34</v>
      </c>
      <c r="B29" t="s">
        <v>77</v>
      </c>
      <c r="C29" t="s">
        <v>117</v>
      </c>
      <c r="D29" t="s">
        <v>96</v>
      </c>
      <c r="E29" s="75" t="s">
        <v>689</v>
      </c>
      <c r="G29" s="68">
        <v>2.4727559781891193</v>
      </c>
      <c r="H29" s="68">
        <v>2.7923407117366525</v>
      </c>
      <c r="I29" s="68">
        <v>2.9518509257129657</v>
      </c>
      <c r="J29" s="68">
        <v>3.0197758212825736</v>
      </c>
      <c r="K29" s="68">
        <v>3.5346278826397564</v>
      </c>
      <c r="L29" s="68">
        <v>5.8392907026912448</v>
      </c>
      <c r="M29" s="190" t="s">
        <v>119</v>
      </c>
      <c r="N29" s="190" t="s">
        <v>119</v>
      </c>
    </row>
    <row r="30" spans="1:14" x14ac:dyDescent="0.35">
      <c r="A30" s="69" t="s">
        <v>4</v>
      </c>
      <c r="B30" t="s">
        <v>77</v>
      </c>
      <c r="C30" t="s">
        <v>117</v>
      </c>
      <c r="D30" t="s">
        <v>96</v>
      </c>
      <c r="E30" s="75" t="s">
        <v>690</v>
      </c>
      <c r="G30" s="68">
        <v>2.7570485725087082</v>
      </c>
      <c r="H30" s="68">
        <v>3.1121698803461908</v>
      </c>
      <c r="I30" s="68">
        <v>3.2894483814674778</v>
      </c>
      <c r="J30" s="68">
        <v>3.3751415641820599</v>
      </c>
      <c r="K30" s="68">
        <v>3.9788350612641143</v>
      </c>
      <c r="L30" s="68">
        <v>6.4611807527653431</v>
      </c>
      <c r="M30" s="190" t="s">
        <v>119</v>
      </c>
      <c r="N30" s="190" t="s">
        <v>119</v>
      </c>
    </row>
    <row r="31" spans="1:14" x14ac:dyDescent="0.35">
      <c r="A31" s="69" t="s">
        <v>35</v>
      </c>
      <c r="B31" t="s">
        <v>77</v>
      </c>
      <c r="C31" t="s">
        <v>117</v>
      </c>
      <c r="D31" t="s">
        <v>96</v>
      </c>
      <c r="E31" s="75" t="s">
        <v>691</v>
      </c>
      <c r="G31" s="68">
        <v>2.671772176309049</v>
      </c>
      <c r="H31" s="68">
        <v>3.0162339346215727</v>
      </c>
      <c r="I31" s="68">
        <v>3.1881826609803836</v>
      </c>
      <c r="J31" s="68">
        <v>3.2685460689324852</v>
      </c>
      <c r="K31" s="68">
        <v>3.8455906922021459</v>
      </c>
      <c r="L31" s="68">
        <v>6.2746386360785893</v>
      </c>
      <c r="M31" s="190" t="s">
        <v>119</v>
      </c>
      <c r="N31" s="190" t="s">
        <v>119</v>
      </c>
    </row>
    <row r="32" spans="1:14" x14ac:dyDescent="0.35">
      <c r="A32" s="69" t="s">
        <v>22</v>
      </c>
      <c r="B32" t="s">
        <v>77</v>
      </c>
      <c r="C32" s="165" t="s">
        <v>118</v>
      </c>
      <c r="D32" t="s">
        <v>90</v>
      </c>
      <c r="E32" s="75" t="s">
        <v>692</v>
      </c>
      <c r="G32" s="166">
        <v>1.5978840912904515</v>
      </c>
      <c r="H32" s="166">
        <v>1.7724764008352922</v>
      </c>
      <c r="I32" s="166">
        <v>1.8517901658160405</v>
      </c>
      <c r="J32" s="166">
        <v>1.878787419959441</v>
      </c>
      <c r="K32" s="166">
        <v>1.9516797802799881</v>
      </c>
      <c r="L32" s="190" t="s">
        <v>119</v>
      </c>
      <c r="M32" s="190" t="s">
        <v>119</v>
      </c>
      <c r="N32" s="190" t="s">
        <v>119</v>
      </c>
    </row>
    <row r="33" spans="1:14" x14ac:dyDescent="0.35">
      <c r="A33" s="69" t="s">
        <v>23</v>
      </c>
      <c r="B33" t="s">
        <v>77</v>
      </c>
      <c r="C33" s="165" t="s">
        <v>118</v>
      </c>
      <c r="D33" t="s">
        <v>90</v>
      </c>
      <c r="E33" s="75" t="s">
        <v>693</v>
      </c>
      <c r="G33" s="166">
        <v>1.5978840912904515</v>
      </c>
      <c r="H33" s="166">
        <v>1.7724764008352922</v>
      </c>
      <c r="I33" s="166">
        <v>1.8517901658160405</v>
      </c>
      <c r="J33" s="166">
        <v>1.878787419959441</v>
      </c>
      <c r="K33" s="166">
        <v>1.9516797802799881</v>
      </c>
      <c r="L33" s="190" t="s">
        <v>119</v>
      </c>
      <c r="M33" s="190" t="s">
        <v>119</v>
      </c>
      <c r="N33" s="190" t="s">
        <v>119</v>
      </c>
    </row>
    <row r="34" spans="1:14" x14ac:dyDescent="0.35">
      <c r="A34" s="69" t="s">
        <v>24</v>
      </c>
      <c r="B34" t="s">
        <v>77</v>
      </c>
      <c r="C34" s="165" t="s">
        <v>118</v>
      </c>
      <c r="D34" t="s">
        <v>90</v>
      </c>
      <c r="E34" s="75" t="s">
        <v>694</v>
      </c>
      <c r="G34" s="166">
        <v>1.5978840912904515</v>
      </c>
      <c r="H34" s="166">
        <v>1.7724764008352922</v>
      </c>
      <c r="I34" s="166">
        <v>1.8517901658160405</v>
      </c>
      <c r="J34" s="166">
        <v>1.878787419959441</v>
      </c>
      <c r="K34" s="166">
        <v>1.9516797802799881</v>
      </c>
      <c r="L34" s="190" t="s">
        <v>119</v>
      </c>
      <c r="M34" s="190" t="s">
        <v>119</v>
      </c>
      <c r="N34" s="190" t="s">
        <v>119</v>
      </c>
    </row>
    <row r="35" spans="1:14" x14ac:dyDescent="0.35">
      <c r="A35" s="69" t="s">
        <v>25</v>
      </c>
      <c r="B35" t="s">
        <v>77</v>
      </c>
      <c r="C35" s="165" t="s">
        <v>118</v>
      </c>
      <c r="D35" t="s">
        <v>90</v>
      </c>
      <c r="E35" s="75" t="s">
        <v>695</v>
      </c>
      <c r="G35" s="166">
        <v>1.5978840912904515</v>
      </c>
      <c r="H35" s="166">
        <v>1.7724764008352922</v>
      </c>
      <c r="I35" s="166">
        <v>1.8517901658160405</v>
      </c>
      <c r="J35" s="166">
        <v>1.878787419959441</v>
      </c>
      <c r="K35" s="166">
        <v>1.9516797802799881</v>
      </c>
      <c r="L35" s="190" t="s">
        <v>119</v>
      </c>
      <c r="M35" s="190" t="s">
        <v>119</v>
      </c>
      <c r="N35" s="190" t="s">
        <v>119</v>
      </c>
    </row>
    <row r="36" spans="1:14" x14ac:dyDescent="0.35">
      <c r="A36" s="69" t="s">
        <v>26</v>
      </c>
      <c r="B36" t="s">
        <v>77</v>
      </c>
      <c r="C36" s="165" t="s">
        <v>118</v>
      </c>
      <c r="D36" t="s">
        <v>90</v>
      </c>
      <c r="E36" s="75" t="s">
        <v>696</v>
      </c>
      <c r="G36" s="166">
        <v>1.5978840912904515</v>
      </c>
      <c r="H36" s="166">
        <v>1.7724764008352922</v>
      </c>
      <c r="I36" s="166">
        <v>1.8517901658160405</v>
      </c>
      <c r="J36" s="166">
        <v>1.878787419959441</v>
      </c>
      <c r="K36" s="166">
        <v>1.9516797802799881</v>
      </c>
      <c r="L36" s="190" t="s">
        <v>119</v>
      </c>
      <c r="M36" s="190" t="s">
        <v>119</v>
      </c>
      <c r="N36" s="190" t="s">
        <v>119</v>
      </c>
    </row>
    <row r="37" spans="1:14" x14ac:dyDescent="0.35">
      <c r="A37" s="69" t="s">
        <v>27</v>
      </c>
      <c r="B37" t="s">
        <v>77</v>
      </c>
      <c r="C37" s="165" t="s">
        <v>118</v>
      </c>
      <c r="D37" t="s">
        <v>90</v>
      </c>
      <c r="E37" s="75" t="s">
        <v>697</v>
      </c>
      <c r="G37" s="166">
        <v>1.5978840912904515</v>
      </c>
      <c r="H37" s="166">
        <v>1.7724764008352922</v>
      </c>
      <c r="I37" s="166">
        <v>1.8517901658160405</v>
      </c>
      <c r="J37" s="166">
        <v>1.878787419959441</v>
      </c>
      <c r="K37" s="166">
        <v>1.9516797802799881</v>
      </c>
      <c r="L37" s="190" t="s">
        <v>119</v>
      </c>
      <c r="M37" s="190" t="s">
        <v>119</v>
      </c>
      <c r="N37" s="190" t="s">
        <v>119</v>
      </c>
    </row>
    <row r="38" spans="1:14" x14ac:dyDescent="0.35">
      <c r="A38" s="69" t="s">
        <v>28</v>
      </c>
      <c r="B38" t="s">
        <v>77</v>
      </c>
      <c r="C38" s="165" t="s">
        <v>118</v>
      </c>
      <c r="D38" t="s">
        <v>90</v>
      </c>
      <c r="E38" s="75" t="s">
        <v>698</v>
      </c>
      <c r="G38" s="166">
        <v>1.5978840912904515</v>
      </c>
      <c r="H38" s="166">
        <v>1.7724764008352922</v>
      </c>
      <c r="I38" s="166">
        <v>1.8517901658160405</v>
      </c>
      <c r="J38" s="166">
        <v>1.878787419959441</v>
      </c>
      <c r="K38" s="166">
        <v>1.9516797802799881</v>
      </c>
      <c r="L38" s="190" t="s">
        <v>119</v>
      </c>
      <c r="M38" s="190" t="s">
        <v>119</v>
      </c>
      <c r="N38" s="190" t="s">
        <v>119</v>
      </c>
    </row>
    <row r="39" spans="1:14" x14ac:dyDescent="0.35">
      <c r="A39" s="69" t="s">
        <v>29</v>
      </c>
      <c r="B39" t="s">
        <v>77</v>
      </c>
      <c r="C39" s="165" t="s">
        <v>118</v>
      </c>
      <c r="D39" t="s">
        <v>90</v>
      </c>
      <c r="E39" s="75" t="s">
        <v>699</v>
      </c>
      <c r="G39" s="166">
        <v>1.5978840912904515</v>
      </c>
      <c r="H39" s="166">
        <v>1.7724764008352922</v>
      </c>
      <c r="I39" s="166">
        <v>1.8517901658160405</v>
      </c>
      <c r="J39" s="166">
        <v>1.878787419959441</v>
      </c>
      <c r="K39" s="166">
        <v>1.9516797802799881</v>
      </c>
      <c r="L39" s="190" t="s">
        <v>119</v>
      </c>
      <c r="M39" s="190" t="s">
        <v>119</v>
      </c>
      <c r="N39" s="190" t="s">
        <v>119</v>
      </c>
    </row>
    <row r="40" spans="1:14" x14ac:dyDescent="0.35">
      <c r="A40" s="69" t="s">
        <v>30</v>
      </c>
      <c r="B40" t="s">
        <v>77</v>
      </c>
      <c r="C40" s="165" t="s">
        <v>118</v>
      </c>
      <c r="D40" t="s">
        <v>90</v>
      </c>
      <c r="E40" s="75" t="s">
        <v>700</v>
      </c>
      <c r="G40" s="166">
        <v>1.5978840912904515</v>
      </c>
      <c r="H40" s="166">
        <v>1.7724764008352922</v>
      </c>
      <c r="I40" s="166">
        <v>1.8517901658160405</v>
      </c>
      <c r="J40" s="166">
        <v>1.878787419959441</v>
      </c>
      <c r="K40" s="166">
        <v>1.9516797802799881</v>
      </c>
      <c r="L40" s="190" t="s">
        <v>119</v>
      </c>
      <c r="M40" s="190" t="s">
        <v>119</v>
      </c>
      <c r="N40" s="190" t="s">
        <v>119</v>
      </c>
    </row>
    <row r="41" spans="1:14" x14ac:dyDescent="0.35">
      <c r="A41" s="69" t="s">
        <v>31</v>
      </c>
      <c r="B41" t="s">
        <v>77</v>
      </c>
      <c r="C41" s="165" t="s">
        <v>118</v>
      </c>
      <c r="D41" t="s">
        <v>90</v>
      </c>
      <c r="E41" s="75" t="s">
        <v>701</v>
      </c>
      <c r="G41" s="166">
        <v>1.5978840912904515</v>
      </c>
      <c r="H41" s="166">
        <v>1.7724764008352922</v>
      </c>
      <c r="I41" s="166">
        <v>1.8517901658160405</v>
      </c>
      <c r="J41" s="166">
        <v>1.878787419959441</v>
      </c>
      <c r="K41" s="166">
        <v>1.9516797802799881</v>
      </c>
      <c r="L41" s="190" t="s">
        <v>119</v>
      </c>
      <c r="M41" s="190" t="s">
        <v>119</v>
      </c>
      <c r="N41" s="190" t="s">
        <v>119</v>
      </c>
    </row>
    <row r="42" spans="1:14" x14ac:dyDescent="0.35">
      <c r="A42" s="69" t="s">
        <v>32</v>
      </c>
      <c r="B42" t="s">
        <v>77</v>
      </c>
      <c r="C42" s="165" t="s">
        <v>118</v>
      </c>
      <c r="D42" t="s">
        <v>90</v>
      </c>
      <c r="E42" s="75" t="s">
        <v>702</v>
      </c>
      <c r="G42" s="166">
        <v>1.5978840912904515</v>
      </c>
      <c r="H42" s="166">
        <v>1.7724764008352922</v>
      </c>
      <c r="I42" s="166">
        <v>1.8517901658160405</v>
      </c>
      <c r="J42" s="166">
        <v>1.878787419959441</v>
      </c>
      <c r="K42" s="166">
        <v>1.9516797802799881</v>
      </c>
      <c r="L42" s="190" t="s">
        <v>119</v>
      </c>
      <c r="M42" s="190" t="s">
        <v>119</v>
      </c>
      <c r="N42" s="190" t="s">
        <v>119</v>
      </c>
    </row>
    <row r="43" spans="1:14" x14ac:dyDescent="0.35">
      <c r="A43" s="69" t="s">
        <v>33</v>
      </c>
      <c r="B43" t="s">
        <v>77</v>
      </c>
      <c r="C43" s="165" t="s">
        <v>118</v>
      </c>
      <c r="D43" t="s">
        <v>90</v>
      </c>
      <c r="E43" s="75" t="s">
        <v>703</v>
      </c>
      <c r="G43" s="166">
        <v>1.5978840912904515</v>
      </c>
      <c r="H43" s="166">
        <v>1.7724764008352922</v>
      </c>
      <c r="I43" s="166">
        <v>1.8517901658160405</v>
      </c>
      <c r="J43" s="166">
        <v>1.878787419959441</v>
      </c>
      <c r="K43" s="166">
        <v>1.9516797802799881</v>
      </c>
      <c r="L43" s="190" t="s">
        <v>119</v>
      </c>
      <c r="M43" s="190" t="s">
        <v>119</v>
      </c>
      <c r="N43" s="190" t="s">
        <v>119</v>
      </c>
    </row>
    <row r="44" spans="1:14" x14ac:dyDescent="0.35">
      <c r="A44" s="69" t="s">
        <v>34</v>
      </c>
      <c r="B44" t="s">
        <v>77</v>
      </c>
      <c r="C44" s="165" t="s">
        <v>118</v>
      </c>
      <c r="D44" t="s">
        <v>90</v>
      </c>
      <c r="E44" s="75" t="s">
        <v>704</v>
      </c>
      <c r="G44" s="166">
        <v>1.5978840912904515</v>
      </c>
      <c r="H44" s="166">
        <v>1.7724764008352922</v>
      </c>
      <c r="I44" s="166">
        <v>1.8517901658160405</v>
      </c>
      <c r="J44" s="166">
        <v>1.878787419959441</v>
      </c>
      <c r="K44" s="166">
        <v>1.9516797802799881</v>
      </c>
      <c r="L44" s="190" t="s">
        <v>119</v>
      </c>
      <c r="M44" s="190" t="s">
        <v>119</v>
      </c>
      <c r="N44" s="190" t="s">
        <v>119</v>
      </c>
    </row>
    <row r="45" spans="1:14" x14ac:dyDescent="0.35">
      <c r="A45" s="69" t="s">
        <v>4</v>
      </c>
      <c r="B45" t="s">
        <v>77</v>
      </c>
      <c r="C45" s="165" t="s">
        <v>118</v>
      </c>
      <c r="D45" t="s">
        <v>90</v>
      </c>
      <c r="E45" s="75" t="s">
        <v>705</v>
      </c>
      <c r="G45" s="166">
        <v>1.5978840912904515</v>
      </c>
      <c r="H45" s="166">
        <v>1.7724764008352922</v>
      </c>
      <c r="I45" s="166">
        <v>1.8517901658160405</v>
      </c>
      <c r="J45" s="166">
        <v>1.878787419959441</v>
      </c>
      <c r="K45" s="166">
        <v>1.9516797802799881</v>
      </c>
      <c r="L45" s="190" t="s">
        <v>119</v>
      </c>
      <c r="M45" s="190" t="s">
        <v>119</v>
      </c>
      <c r="N45" s="190" t="s">
        <v>119</v>
      </c>
    </row>
    <row r="46" spans="1:14" x14ac:dyDescent="0.35">
      <c r="A46" s="69" t="s">
        <v>35</v>
      </c>
      <c r="B46" t="s">
        <v>77</v>
      </c>
      <c r="C46" s="165" t="s">
        <v>118</v>
      </c>
      <c r="D46" t="s">
        <v>90</v>
      </c>
      <c r="E46" s="75" t="s">
        <v>706</v>
      </c>
      <c r="G46" s="166">
        <v>1.5978840912904515</v>
      </c>
      <c r="H46" s="166">
        <v>1.7724764008352922</v>
      </c>
      <c r="I46" s="166">
        <v>1.8517901658160405</v>
      </c>
      <c r="J46" s="166">
        <v>1.878787419959441</v>
      </c>
      <c r="K46" s="166">
        <v>1.9516797802799881</v>
      </c>
      <c r="L46" s="190" t="s">
        <v>119</v>
      </c>
      <c r="M46" s="190" t="s">
        <v>119</v>
      </c>
      <c r="N46" s="190" t="s">
        <v>119</v>
      </c>
    </row>
    <row r="47" spans="1:14" x14ac:dyDescent="0.35">
      <c r="A47" s="69" t="s">
        <v>22</v>
      </c>
      <c r="B47" t="s">
        <v>77</v>
      </c>
      <c r="C47" s="165" t="s">
        <v>118</v>
      </c>
      <c r="D47" t="s">
        <v>96</v>
      </c>
      <c r="E47" s="75" t="s">
        <v>707</v>
      </c>
      <c r="G47" s="166">
        <v>2.3643243220975676</v>
      </c>
      <c r="H47" s="166">
        <v>2.6703550986336575</v>
      </c>
      <c r="I47" s="190" t="s">
        <v>119</v>
      </c>
      <c r="J47" s="190" t="s">
        <v>119</v>
      </c>
      <c r="K47" s="190" t="s">
        <v>119</v>
      </c>
      <c r="L47" s="190" t="s">
        <v>119</v>
      </c>
      <c r="M47" s="190" t="s">
        <v>119</v>
      </c>
      <c r="N47" s="190" t="s">
        <v>119</v>
      </c>
    </row>
    <row r="48" spans="1:14" x14ac:dyDescent="0.35">
      <c r="A48" s="69" t="s">
        <v>23</v>
      </c>
      <c r="B48" t="s">
        <v>77</v>
      </c>
      <c r="C48" s="165" t="s">
        <v>118</v>
      </c>
      <c r="D48" t="s">
        <v>96</v>
      </c>
      <c r="E48" s="75" t="s">
        <v>708</v>
      </c>
      <c r="G48" s="166">
        <v>2.3643243220975676</v>
      </c>
      <c r="H48" s="166">
        <v>2.6703550986336575</v>
      </c>
      <c r="I48" s="190" t="s">
        <v>119</v>
      </c>
      <c r="J48" s="190" t="s">
        <v>119</v>
      </c>
      <c r="K48" s="190" t="s">
        <v>119</v>
      </c>
      <c r="L48" s="190" t="s">
        <v>119</v>
      </c>
      <c r="M48" s="190" t="s">
        <v>119</v>
      </c>
      <c r="N48" s="190" t="s">
        <v>119</v>
      </c>
    </row>
    <row r="49" spans="1:14" x14ac:dyDescent="0.35">
      <c r="A49" s="69" t="s">
        <v>24</v>
      </c>
      <c r="B49" t="s">
        <v>77</v>
      </c>
      <c r="C49" s="165" t="s">
        <v>118</v>
      </c>
      <c r="D49" t="s">
        <v>96</v>
      </c>
      <c r="E49" s="75" t="s">
        <v>709</v>
      </c>
      <c r="G49" s="166">
        <v>2.3643243220975676</v>
      </c>
      <c r="H49" s="166">
        <v>2.6703550986336575</v>
      </c>
      <c r="I49" s="190" t="s">
        <v>119</v>
      </c>
      <c r="J49" s="190" t="s">
        <v>119</v>
      </c>
      <c r="K49" s="190" t="s">
        <v>119</v>
      </c>
      <c r="L49" s="190" t="s">
        <v>119</v>
      </c>
      <c r="M49" s="190" t="s">
        <v>119</v>
      </c>
      <c r="N49" s="190" t="s">
        <v>119</v>
      </c>
    </row>
    <row r="50" spans="1:14" x14ac:dyDescent="0.35">
      <c r="A50" s="69" t="s">
        <v>25</v>
      </c>
      <c r="B50" t="s">
        <v>77</v>
      </c>
      <c r="C50" s="165" t="s">
        <v>118</v>
      </c>
      <c r="D50" t="s">
        <v>96</v>
      </c>
      <c r="E50" s="75" t="s">
        <v>710</v>
      </c>
      <c r="G50" s="166">
        <v>2.3643243220975676</v>
      </c>
      <c r="H50" s="166">
        <v>2.6703550986336575</v>
      </c>
      <c r="I50" s="190" t="s">
        <v>119</v>
      </c>
      <c r="J50" s="190" t="s">
        <v>119</v>
      </c>
      <c r="K50" s="190" t="s">
        <v>119</v>
      </c>
      <c r="L50" s="190" t="s">
        <v>119</v>
      </c>
      <c r="M50" s="190" t="s">
        <v>119</v>
      </c>
      <c r="N50" s="190" t="s">
        <v>119</v>
      </c>
    </row>
    <row r="51" spans="1:14" x14ac:dyDescent="0.35">
      <c r="A51" s="69" t="s">
        <v>26</v>
      </c>
      <c r="B51" t="s">
        <v>77</v>
      </c>
      <c r="C51" s="165" t="s">
        <v>118</v>
      </c>
      <c r="D51" t="s">
        <v>96</v>
      </c>
      <c r="E51" s="75" t="s">
        <v>711</v>
      </c>
      <c r="G51" s="166">
        <v>2.3643243220975676</v>
      </c>
      <c r="H51" s="166">
        <v>2.6703550986336575</v>
      </c>
      <c r="I51" s="190" t="s">
        <v>119</v>
      </c>
      <c r="J51" s="190" t="s">
        <v>119</v>
      </c>
      <c r="K51" s="190" t="s">
        <v>119</v>
      </c>
      <c r="L51" s="190" t="s">
        <v>119</v>
      </c>
      <c r="M51" s="190" t="s">
        <v>119</v>
      </c>
      <c r="N51" s="190" t="s">
        <v>119</v>
      </c>
    </row>
    <row r="52" spans="1:14" x14ac:dyDescent="0.35">
      <c r="A52" s="69" t="s">
        <v>27</v>
      </c>
      <c r="B52" t="s">
        <v>77</v>
      </c>
      <c r="C52" s="165" t="s">
        <v>118</v>
      </c>
      <c r="D52" t="s">
        <v>96</v>
      </c>
      <c r="E52" s="75" t="s">
        <v>712</v>
      </c>
      <c r="G52" s="166">
        <v>2.3643243220975676</v>
      </c>
      <c r="H52" s="166">
        <v>2.6703550986336575</v>
      </c>
      <c r="I52" s="190" t="s">
        <v>119</v>
      </c>
      <c r="J52" s="190" t="s">
        <v>119</v>
      </c>
      <c r="K52" s="190" t="s">
        <v>119</v>
      </c>
      <c r="L52" s="190" t="s">
        <v>119</v>
      </c>
      <c r="M52" s="190" t="s">
        <v>119</v>
      </c>
      <c r="N52" s="190" t="s">
        <v>119</v>
      </c>
    </row>
    <row r="53" spans="1:14" x14ac:dyDescent="0.35">
      <c r="A53" s="69" t="s">
        <v>28</v>
      </c>
      <c r="B53" t="s">
        <v>77</v>
      </c>
      <c r="C53" s="165" t="s">
        <v>118</v>
      </c>
      <c r="D53" t="s">
        <v>96</v>
      </c>
      <c r="E53" s="75" t="s">
        <v>713</v>
      </c>
      <c r="G53" s="166">
        <v>2.3643243220975676</v>
      </c>
      <c r="H53" s="166">
        <v>2.6703550986336575</v>
      </c>
      <c r="I53" s="190" t="s">
        <v>119</v>
      </c>
      <c r="J53" s="190" t="s">
        <v>119</v>
      </c>
      <c r="K53" s="190" t="s">
        <v>119</v>
      </c>
      <c r="L53" s="190" t="s">
        <v>119</v>
      </c>
      <c r="M53" s="190" t="s">
        <v>119</v>
      </c>
      <c r="N53" s="190" t="s">
        <v>119</v>
      </c>
    </row>
    <row r="54" spans="1:14" x14ac:dyDescent="0.35">
      <c r="A54" s="69" t="s">
        <v>29</v>
      </c>
      <c r="B54" t="s">
        <v>77</v>
      </c>
      <c r="C54" s="165" t="s">
        <v>118</v>
      </c>
      <c r="D54" t="s">
        <v>96</v>
      </c>
      <c r="E54" s="75" t="s">
        <v>714</v>
      </c>
      <c r="G54" s="166">
        <v>2.3643243220975676</v>
      </c>
      <c r="H54" s="166">
        <v>2.6703550986336575</v>
      </c>
      <c r="I54" s="190" t="s">
        <v>119</v>
      </c>
      <c r="J54" s="190" t="s">
        <v>119</v>
      </c>
      <c r="K54" s="190" t="s">
        <v>119</v>
      </c>
      <c r="L54" s="190" t="s">
        <v>119</v>
      </c>
      <c r="M54" s="190" t="s">
        <v>119</v>
      </c>
      <c r="N54" s="190" t="s">
        <v>119</v>
      </c>
    </row>
    <row r="55" spans="1:14" x14ac:dyDescent="0.35">
      <c r="A55" s="69" t="s">
        <v>30</v>
      </c>
      <c r="B55" t="s">
        <v>77</v>
      </c>
      <c r="C55" s="165" t="s">
        <v>118</v>
      </c>
      <c r="D55" t="s">
        <v>96</v>
      </c>
      <c r="E55" s="75" t="s">
        <v>715</v>
      </c>
      <c r="G55" s="166">
        <v>2.3643243220975676</v>
      </c>
      <c r="H55" s="166">
        <v>2.6703550986336575</v>
      </c>
      <c r="I55" s="190" t="s">
        <v>119</v>
      </c>
      <c r="J55" s="190" t="s">
        <v>119</v>
      </c>
      <c r="K55" s="190" t="s">
        <v>119</v>
      </c>
      <c r="L55" s="190" t="s">
        <v>119</v>
      </c>
      <c r="M55" s="190" t="s">
        <v>119</v>
      </c>
      <c r="N55" s="190" t="s">
        <v>119</v>
      </c>
    </row>
    <row r="56" spans="1:14" x14ac:dyDescent="0.35">
      <c r="A56" s="69" t="s">
        <v>31</v>
      </c>
      <c r="B56" t="s">
        <v>77</v>
      </c>
      <c r="C56" s="165" t="s">
        <v>118</v>
      </c>
      <c r="D56" t="s">
        <v>96</v>
      </c>
      <c r="E56" s="75" t="s">
        <v>716</v>
      </c>
      <c r="G56" s="166">
        <v>2.3643243220975676</v>
      </c>
      <c r="H56" s="166">
        <v>2.6703550986336575</v>
      </c>
      <c r="I56" s="190" t="s">
        <v>119</v>
      </c>
      <c r="J56" s="190" t="s">
        <v>119</v>
      </c>
      <c r="K56" s="190" t="s">
        <v>119</v>
      </c>
      <c r="L56" s="190" t="s">
        <v>119</v>
      </c>
      <c r="M56" s="190" t="s">
        <v>119</v>
      </c>
      <c r="N56" s="190" t="s">
        <v>119</v>
      </c>
    </row>
    <row r="57" spans="1:14" x14ac:dyDescent="0.35">
      <c r="A57" s="69" t="s">
        <v>32</v>
      </c>
      <c r="B57" t="s">
        <v>77</v>
      </c>
      <c r="C57" s="165" t="s">
        <v>118</v>
      </c>
      <c r="D57" t="s">
        <v>96</v>
      </c>
      <c r="E57" s="75" t="s">
        <v>717</v>
      </c>
      <c r="G57" s="166">
        <v>2.3643243220975676</v>
      </c>
      <c r="H57" s="166">
        <v>2.6703550986336575</v>
      </c>
      <c r="I57" s="190" t="s">
        <v>119</v>
      </c>
      <c r="J57" s="190" t="s">
        <v>119</v>
      </c>
      <c r="K57" s="190" t="s">
        <v>119</v>
      </c>
      <c r="L57" s="190" t="s">
        <v>119</v>
      </c>
      <c r="M57" s="190" t="s">
        <v>119</v>
      </c>
      <c r="N57" s="190" t="s">
        <v>119</v>
      </c>
    </row>
    <row r="58" spans="1:14" x14ac:dyDescent="0.35">
      <c r="A58" s="69" t="s">
        <v>33</v>
      </c>
      <c r="B58" t="s">
        <v>77</v>
      </c>
      <c r="C58" s="165" t="s">
        <v>118</v>
      </c>
      <c r="D58" t="s">
        <v>96</v>
      </c>
      <c r="E58" s="75" t="s">
        <v>718</v>
      </c>
      <c r="G58" s="166">
        <v>2.3643243220975676</v>
      </c>
      <c r="H58" s="166">
        <v>2.6703550986336575</v>
      </c>
      <c r="I58" s="190" t="s">
        <v>119</v>
      </c>
      <c r="J58" s="190" t="s">
        <v>119</v>
      </c>
      <c r="K58" s="190" t="s">
        <v>119</v>
      </c>
      <c r="L58" s="190" t="s">
        <v>119</v>
      </c>
      <c r="M58" s="190" t="s">
        <v>119</v>
      </c>
      <c r="N58" s="190" t="s">
        <v>119</v>
      </c>
    </row>
    <row r="59" spans="1:14" x14ac:dyDescent="0.35">
      <c r="A59" s="69" t="s">
        <v>34</v>
      </c>
      <c r="B59" t="s">
        <v>77</v>
      </c>
      <c r="C59" s="165" t="s">
        <v>118</v>
      </c>
      <c r="D59" t="s">
        <v>96</v>
      </c>
      <c r="E59" s="75" t="s">
        <v>719</v>
      </c>
      <c r="G59" s="166">
        <v>2.3643243220975676</v>
      </c>
      <c r="H59" s="166">
        <v>2.6703550986336575</v>
      </c>
      <c r="I59" s="190" t="s">
        <v>119</v>
      </c>
      <c r="J59" s="190" t="s">
        <v>119</v>
      </c>
      <c r="K59" s="190" t="s">
        <v>119</v>
      </c>
      <c r="L59" s="190" t="s">
        <v>119</v>
      </c>
      <c r="M59" s="190" t="s">
        <v>119</v>
      </c>
      <c r="N59" s="190" t="s">
        <v>119</v>
      </c>
    </row>
    <row r="60" spans="1:14" x14ac:dyDescent="0.35">
      <c r="A60" s="69" t="s">
        <v>4</v>
      </c>
      <c r="B60" t="s">
        <v>77</v>
      </c>
      <c r="C60" s="165" t="s">
        <v>118</v>
      </c>
      <c r="D60" t="s">
        <v>96</v>
      </c>
      <c r="E60" s="75" t="s">
        <v>720</v>
      </c>
      <c r="G60" s="166">
        <v>2.3643243220975676</v>
      </c>
      <c r="H60" s="166">
        <v>2.6703550986336575</v>
      </c>
      <c r="I60" s="190" t="s">
        <v>119</v>
      </c>
      <c r="J60" s="190" t="s">
        <v>119</v>
      </c>
      <c r="K60" s="190" t="s">
        <v>119</v>
      </c>
      <c r="L60" s="190" t="s">
        <v>119</v>
      </c>
      <c r="M60" s="190" t="s">
        <v>119</v>
      </c>
      <c r="N60" s="190" t="s">
        <v>119</v>
      </c>
    </row>
    <row r="61" spans="1:14" x14ac:dyDescent="0.35">
      <c r="A61" s="69" t="s">
        <v>35</v>
      </c>
      <c r="B61" t="s">
        <v>77</v>
      </c>
      <c r="C61" s="165" t="s">
        <v>118</v>
      </c>
      <c r="D61" t="s">
        <v>96</v>
      </c>
      <c r="E61" s="75" t="s">
        <v>721</v>
      </c>
      <c r="G61" s="166">
        <v>2.3643243220975676</v>
      </c>
      <c r="H61" s="166">
        <v>2.6703550986336575</v>
      </c>
      <c r="I61" s="190" t="s">
        <v>119</v>
      </c>
      <c r="J61" s="190" t="s">
        <v>119</v>
      </c>
      <c r="K61" s="190" t="s">
        <v>119</v>
      </c>
      <c r="L61" s="190" t="s">
        <v>119</v>
      </c>
      <c r="M61" s="190" t="s">
        <v>119</v>
      </c>
      <c r="N61" s="190" t="s">
        <v>119</v>
      </c>
    </row>
    <row r="62" spans="1:14" x14ac:dyDescent="0.35">
      <c r="A62" s="69" t="s">
        <v>22</v>
      </c>
      <c r="B62" t="s">
        <v>77</v>
      </c>
      <c r="C62" s="165" t="s">
        <v>120</v>
      </c>
      <c r="D62" t="s">
        <v>90</v>
      </c>
      <c r="E62" s="75" t="s">
        <v>722</v>
      </c>
      <c r="G62" s="164">
        <v>0.40669507169122127</v>
      </c>
      <c r="H62" s="164">
        <v>0.47593571343352292</v>
      </c>
      <c r="I62" s="164">
        <v>0.47957863766346942</v>
      </c>
      <c r="J62" s="164">
        <v>0.48190546417853242</v>
      </c>
      <c r="K62" s="164">
        <v>0.48190546417853242</v>
      </c>
      <c r="L62" s="164">
        <v>0.75699545058128592</v>
      </c>
      <c r="M62" s="164">
        <v>1.0527869410596495</v>
      </c>
      <c r="N62" s="164">
        <v>1.4570205803418494</v>
      </c>
    </row>
    <row r="63" spans="1:14" x14ac:dyDescent="0.35">
      <c r="A63" s="69" t="s">
        <v>23</v>
      </c>
      <c r="B63" t="s">
        <v>77</v>
      </c>
      <c r="C63" s="165" t="s">
        <v>120</v>
      </c>
      <c r="D63" t="s">
        <v>90</v>
      </c>
      <c r="E63" s="75" t="s">
        <v>723</v>
      </c>
      <c r="G63" s="164">
        <v>0.40669507169122127</v>
      </c>
      <c r="H63" s="164">
        <v>0.47593571343352292</v>
      </c>
      <c r="I63" s="164">
        <v>0.47957863766346942</v>
      </c>
      <c r="J63" s="164">
        <v>0.48190546417853242</v>
      </c>
      <c r="K63" s="164">
        <v>0.48190546417853242</v>
      </c>
      <c r="L63" s="164">
        <v>0.75699545058128592</v>
      </c>
      <c r="M63" s="164">
        <v>1.0527869410596495</v>
      </c>
      <c r="N63" s="164">
        <v>1.4570205803418494</v>
      </c>
    </row>
    <row r="64" spans="1:14" x14ac:dyDescent="0.35">
      <c r="A64" s="69" t="s">
        <v>24</v>
      </c>
      <c r="B64" t="s">
        <v>77</v>
      </c>
      <c r="C64" s="165" t="s">
        <v>120</v>
      </c>
      <c r="D64" t="s">
        <v>90</v>
      </c>
      <c r="E64" s="75" t="s">
        <v>724</v>
      </c>
      <c r="G64" s="164">
        <v>0.40669507169122127</v>
      </c>
      <c r="H64" s="164">
        <v>0.47593571343352292</v>
      </c>
      <c r="I64" s="164">
        <v>0.47957863766346942</v>
      </c>
      <c r="J64" s="164">
        <v>0.48190546417853242</v>
      </c>
      <c r="K64" s="164">
        <v>0.48190546417853242</v>
      </c>
      <c r="L64" s="164">
        <v>0.75699545058128592</v>
      </c>
      <c r="M64" s="164">
        <v>1.0527869410596495</v>
      </c>
      <c r="N64" s="164">
        <v>1.4570205803418494</v>
      </c>
    </row>
    <row r="65" spans="1:19" x14ac:dyDescent="0.35">
      <c r="A65" s="69" t="s">
        <v>25</v>
      </c>
      <c r="B65" t="s">
        <v>77</v>
      </c>
      <c r="C65" s="165" t="s">
        <v>120</v>
      </c>
      <c r="D65" t="s">
        <v>90</v>
      </c>
      <c r="E65" s="75" t="s">
        <v>725</v>
      </c>
      <c r="G65" s="164">
        <v>0.40669507169122127</v>
      </c>
      <c r="H65" s="164">
        <v>0.47593571343352292</v>
      </c>
      <c r="I65" s="164">
        <v>0.47957863766346942</v>
      </c>
      <c r="J65" s="164">
        <v>0.48190546417853242</v>
      </c>
      <c r="K65" s="164">
        <v>0.48190546417853242</v>
      </c>
      <c r="L65" s="164">
        <v>0.75699545058128592</v>
      </c>
      <c r="M65" s="164">
        <v>1.0527869410596495</v>
      </c>
      <c r="N65" s="164">
        <v>1.4570205803418494</v>
      </c>
    </row>
    <row r="66" spans="1:19" x14ac:dyDescent="0.35">
      <c r="A66" s="69" t="s">
        <v>26</v>
      </c>
      <c r="B66" t="s">
        <v>77</v>
      </c>
      <c r="C66" s="165" t="s">
        <v>120</v>
      </c>
      <c r="D66" t="s">
        <v>90</v>
      </c>
      <c r="E66" s="75" t="s">
        <v>726</v>
      </c>
      <c r="G66" s="164">
        <v>0.40669507169122127</v>
      </c>
      <c r="H66" s="164">
        <v>0.47593571343352292</v>
      </c>
      <c r="I66" s="164">
        <v>0.47957863766346942</v>
      </c>
      <c r="J66" s="164">
        <v>0.48190546417853242</v>
      </c>
      <c r="K66" s="164">
        <v>0.48190546417853242</v>
      </c>
      <c r="L66" s="164">
        <v>0.75699545058128592</v>
      </c>
      <c r="M66" s="164">
        <v>1.0527869410596495</v>
      </c>
      <c r="N66" s="164">
        <v>1.4570205803418494</v>
      </c>
    </row>
    <row r="67" spans="1:19" x14ac:dyDescent="0.35">
      <c r="A67" s="69" t="s">
        <v>27</v>
      </c>
      <c r="B67" t="s">
        <v>77</v>
      </c>
      <c r="C67" s="165" t="s">
        <v>120</v>
      </c>
      <c r="D67" t="s">
        <v>90</v>
      </c>
      <c r="E67" s="75" t="s">
        <v>727</v>
      </c>
      <c r="G67" s="164">
        <v>0.40669507169122127</v>
      </c>
      <c r="H67" s="164">
        <v>0.47593571343352292</v>
      </c>
      <c r="I67" s="164">
        <v>0.47957863766346942</v>
      </c>
      <c r="J67" s="164">
        <v>0.48190546417853242</v>
      </c>
      <c r="K67" s="164">
        <v>0.48190546417853242</v>
      </c>
      <c r="L67" s="164">
        <v>0.75699545058128592</v>
      </c>
      <c r="M67" s="164">
        <v>1.0527869410596495</v>
      </c>
      <c r="N67" s="164">
        <v>1.4570205803418494</v>
      </c>
    </row>
    <row r="68" spans="1:19" x14ac:dyDescent="0.35">
      <c r="A68" s="69" t="s">
        <v>28</v>
      </c>
      <c r="B68" t="s">
        <v>77</v>
      </c>
      <c r="C68" s="165" t="s">
        <v>120</v>
      </c>
      <c r="D68" t="s">
        <v>90</v>
      </c>
      <c r="E68" s="75" t="s">
        <v>728</v>
      </c>
      <c r="G68" s="164">
        <v>0.40669507169122127</v>
      </c>
      <c r="H68" s="164">
        <v>0.47593571343352292</v>
      </c>
      <c r="I68" s="164">
        <v>0.47957863766346942</v>
      </c>
      <c r="J68" s="164">
        <v>0.48190546417853242</v>
      </c>
      <c r="K68" s="164">
        <v>0.48190546417853242</v>
      </c>
      <c r="L68" s="164">
        <v>0.75699545058128592</v>
      </c>
      <c r="M68" s="164">
        <v>1.0527869410596495</v>
      </c>
      <c r="N68" s="164">
        <v>1.4570205803418494</v>
      </c>
    </row>
    <row r="69" spans="1:19" x14ac:dyDescent="0.35">
      <c r="A69" s="69" t="s">
        <v>29</v>
      </c>
      <c r="B69" t="s">
        <v>77</v>
      </c>
      <c r="C69" s="165" t="s">
        <v>120</v>
      </c>
      <c r="D69" t="s">
        <v>90</v>
      </c>
      <c r="E69" s="75" t="s">
        <v>729</v>
      </c>
      <c r="G69" s="164">
        <v>0.40669507169122127</v>
      </c>
      <c r="H69" s="164">
        <v>0.47593571343352292</v>
      </c>
      <c r="I69" s="164">
        <v>0.47957863766346942</v>
      </c>
      <c r="J69" s="164">
        <v>0.48190546417853242</v>
      </c>
      <c r="K69" s="164">
        <v>0.48190546417853242</v>
      </c>
      <c r="L69" s="164">
        <v>0.75699545058128592</v>
      </c>
      <c r="M69" s="164">
        <v>1.0527869410596495</v>
      </c>
      <c r="N69" s="164">
        <v>1.4570205803418494</v>
      </c>
    </row>
    <row r="70" spans="1:19" x14ac:dyDescent="0.35">
      <c r="A70" s="69" t="s">
        <v>30</v>
      </c>
      <c r="B70" t="s">
        <v>77</v>
      </c>
      <c r="C70" s="165" t="s">
        <v>120</v>
      </c>
      <c r="D70" t="s">
        <v>90</v>
      </c>
      <c r="E70" s="75" t="s">
        <v>730</v>
      </c>
      <c r="G70" s="164">
        <v>0.40669507169122127</v>
      </c>
      <c r="H70" s="164">
        <v>0.47593571343352292</v>
      </c>
      <c r="I70" s="164">
        <v>0.47957863766346942</v>
      </c>
      <c r="J70" s="164">
        <v>0.48190546417853242</v>
      </c>
      <c r="K70" s="164">
        <v>0.48190546417853242</v>
      </c>
      <c r="L70" s="164">
        <v>0.75699545058128592</v>
      </c>
      <c r="M70" s="164">
        <v>1.0527869410596495</v>
      </c>
      <c r="N70" s="164">
        <v>1.4570205803418494</v>
      </c>
    </row>
    <row r="71" spans="1:19" x14ac:dyDescent="0.35">
      <c r="A71" s="69" t="s">
        <v>31</v>
      </c>
      <c r="B71" t="s">
        <v>77</v>
      </c>
      <c r="C71" s="165" t="s">
        <v>120</v>
      </c>
      <c r="D71" t="s">
        <v>90</v>
      </c>
      <c r="E71" s="75" t="s">
        <v>731</v>
      </c>
      <c r="G71" s="164">
        <v>0.40669507169122127</v>
      </c>
      <c r="H71" s="164">
        <v>0.47593571343352292</v>
      </c>
      <c r="I71" s="164">
        <v>0.47957863766346942</v>
      </c>
      <c r="J71" s="164">
        <v>0.48190546417853242</v>
      </c>
      <c r="K71" s="164">
        <v>0.48190546417853242</v>
      </c>
      <c r="L71" s="164">
        <v>0.75699545058128592</v>
      </c>
      <c r="M71" s="164">
        <v>1.0527869410596495</v>
      </c>
      <c r="N71" s="164">
        <v>1.4570205803418494</v>
      </c>
    </row>
    <row r="72" spans="1:19" x14ac:dyDescent="0.35">
      <c r="A72" s="69" t="s">
        <v>32</v>
      </c>
      <c r="B72" t="s">
        <v>77</v>
      </c>
      <c r="C72" s="165" t="s">
        <v>120</v>
      </c>
      <c r="D72" t="s">
        <v>90</v>
      </c>
      <c r="E72" s="75" t="s">
        <v>732</v>
      </c>
      <c r="G72" s="164">
        <v>0.40669507169122127</v>
      </c>
      <c r="H72" s="164">
        <v>0.47593571343352292</v>
      </c>
      <c r="I72" s="164">
        <v>0.47957863766346942</v>
      </c>
      <c r="J72" s="164">
        <v>0.48190546417853242</v>
      </c>
      <c r="K72" s="164">
        <v>0.48190546417853242</v>
      </c>
      <c r="L72" s="164">
        <v>0.75699545058128592</v>
      </c>
      <c r="M72" s="164">
        <v>1.0527869410596495</v>
      </c>
      <c r="N72" s="164">
        <v>1.4570205803418494</v>
      </c>
    </row>
    <row r="73" spans="1:19" x14ac:dyDescent="0.35">
      <c r="A73" s="69" t="s">
        <v>33</v>
      </c>
      <c r="B73" t="s">
        <v>77</v>
      </c>
      <c r="C73" s="165" t="s">
        <v>120</v>
      </c>
      <c r="D73" t="s">
        <v>90</v>
      </c>
      <c r="E73" s="75" t="s">
        <v>733</v>
      </c>
      <c r="G73" s="164">
        <v>0.40669507169122127</v>
      </c>
      <c r="H73" s="164">
        <v>0.47593571343352292</v>
      </c>
      <c r="I73" s="164">
        <v>0.47957863766346942</v>
      </c>
      <c r="J73" s="164">
        <v>0.48190546417853242</v>
      </c>
      <c r="K73" s="164">
        <v>0.48190546417853242</v>
      </c>
      <c r="L73" s="164">
        <v>0.75699545058128592</v>
      </c>
      <c r="M73" s="164">
        <v>1.0527869410596495</v>
      </c>
      <c r="N73" s="164">
        <v>1.4570205803418494</v>
      </c>
    </row>
    <row r="74" spans="1:19" x14ac:dyDescent="0.35">
      <c r="A74" s="69" t="s">
        <v>34</v>
      </c>
      <c r="B74" t="s">
        <v>77</v>
      </c>
      <c r="C74" s="165" t="s">
        <v>120</v>
      </c>
      <c r="D74" t="s">
        <v>90</v>
      </c>
      <c r="E74" s="75" t="s">
        <v>734</v>
      </c>
      <c r="G74" s="164">
        <v>0.40669507169122127</v>
      </c>
      <c r="H74" s="164">
        <v>0.47593571343352292</v>
      </c>
      <c r="I74" s="164">
        <v>0.47957863766346942</v>
      </c>
      <c r="J74" s="164">
        <v>0.48190546417853242</v>
      </c>
      <c r="K74" s="164">
        <v>0.48190546417853242</v>
      </c>
      <c r="L74" s="164">
        <v>0.75699545058128592</v>
      </c>
      <c r="M74" s="164">
        <v>1.0527869410596495</v>
      </c>
      <c r="N74" s="164">
        <v>1.4570205803418494</v>
      </c>
    </row>
    <row r="75" spans="1:19" x14ac:dyDescent="0.35">
      <c r="A75" s="69" t="s">
        <v>4</v>
      </c>
      <c r="B75" t="s">
        <v>77</v>
      </c>
      <c r="C75" s="165" t="s">
        <v>120</v>
      </c>
      <c r="D75" t="s">
        <v>90</v>
      </c>
      <c r="E75" s="75" t="s">
        <v>735</v>
      </c>
      <c r="G75" s="164">
        <v>0.40669507169122127</v>
      </c>
      <c r="H75" s="164">
        <v>0.47593571343352292</v>
      </c>
      <c r="I75" s="164">
        <v>0.47957863766346942</v>
      </c>
      <c r="J75" s="164">
        <v>0.48190546417853242</v>
      </c>
      <c r="K75" s="164">
        <v>0.48190546417853242</v>
      </c>
      <c r="L75" s="164">
        <v>0.75699545058128592</v>
      </c>
      <c r="M75" s="164">
        <v>1.0527869410596495</v>
      </c>
      <c r="N75" s="164">
        <v>1.4570205803418494</v>
      </c>
    </row>
    <row r="76" spans="1:19" x14ac:dyDescent="0.35">
      <c r="A76" s="69" t="s">
        <v>35</v>
      </c>
      <c r="B76" t="s">
        <v>77</v>
      </c>
      <c r="C76" s="165" t="s">
        <v>120</v>
      </c>
      <c r="D76" t="s">
        <v>90</v>
      </c>
      <c r="E76" s="75" t="s">
        <v>736</v>
      </c>
      <c r="G76" s="164">
        <v>0.40669507169122127</v>
      </c>
      <c r="H76" s="164">
        <v>0.47593571343352292</v>
      </c>
      <c r="I76" s="164">
        <v>0.47957863766346942</v>
      </c>
      <c r="J76" s="164">
        <v>0.48190546417853242</v>
      </c>
      <c r="K76" s="164">
        <v>0.48190546417853242</v>
      </c>
      <c r="L76" s="164">
        <v>0.75699545058128592</v>
      </c>
      <c r="M76" s="164">
        <v>1.0527869410596495</v>
      </c>
      <c r="N76" s="164">
        <v>1.4570205803418494</v>
      </c>
    </row>
    <row r="77" spans="1:19" x14ac:dyDescent="0.35">
      <c r="A77" s="69" t="s">
        <v>22</v>
      </c>
      <c r="B77" t="s">
        <v>94</v>
      </c>
      <c r="C77" t="s">
        <v>117</v>
      </c>
      <c r="D77" t="s">
        <v>90</v>
      </c>
      <c r="E77" s="75" t="s">
        <v>737</v>
      </c>
      <c r="O77" s="68">
        <v>2.4247722691568034</v>
      </c>
      <c r="P77" s="68">
        <v>2.8726803183204486</v>
      </c>
      <c r="Q77" s="68">
        <v>3.0173508907621298</v>
      </c>
      <c r="R77" s="68">
        <v>3.2113837556178844</v>
      </c>
      <c r="S77" s="68">
        <v>5.7606138624337726</v>
      </c>
    </row>
    <row r="78" spans="1:19" x14ac:dyDescent="0.35">
      <c r="A78" s="69" t="s">
        <v>23</v>
      </c>
      <c r="B78" t="s">
        <v>94</v>
      </c>
      <c r="C78" t="s">
        <v>117</v>
      </c>
      <c r="D78" t="s">
        <v>90</v>
      </c>
      <c r="E78" s="75" t="s">
        <v>738</v>
      </c>
      <c r="O78" s="68">
        <v>2.4524529198915377</v>
      </c>
      <c r="P78" s="68">
        <v>2.9110073731839265</v>
      </c>
      <c r="Q78" s="68">
        <v>3.0599365072771061</v>
      </c>
      <c r="R78" s="68">
        <v>3.2571632933714829</v>
      </c>
      <c r="S78" s="68">
        <v>5.8085226810131205</v>
      </c>
    </row>
    <row r="79" spans="1:19" x14ac:dyDescent="0.35">
      <c r="A79" s="69" t="s">
        <v>24</v>
      </c>
      <c r="B79" t="s">
        <v>94</v>
      </c>
      <c r="C79" t="s">
        <v>117</v>
      </c>
      <c r="D79" t="s">
        <v>90</v>
      </c>
      <c r="E79" s="75" t="s">
        <v>739</v>
      </c>
      <c r="O79" s="68">
        <v>2.3308068417827608</v>
      </c>
      <c r="P79" s="68">
        <v>2.7425743419563902</v>
      </c>
      <c r="Q79" s="68">
        <v>2.8727886948020651</v>
      </c>
      <c r="R79" s="68">
        <v>3.0559793949608141</v>
      </c>
      <c r="S79" s="68">
        <v>5.5979813919786992</v>
      </c>
    </row>
    <row r="80" spans="1:19" x14ac:dyDescent="0.35">
      <c r="A80" s="69" t="s">
        <v>25</v>
      </c>
      <c r="B80" t="s">
        <v>94</v>
      </c>
      <c r="C80" t="s">
        <v>117</v>
      </c>
      <c r="D80" t="s">
        <v>90</v>
      </c>
      <c r="E80" s="75" t="s">
        <v>740</v>
      </c>
      <c r="O80" s="68">
        <v>2.4137145913827607</v>
      </c>
      <c r="P80" s="68">
        <v>2.8573696875563903</v>
      </c>
      <c r="Q80" s="68">
        <v>3.0003390788020647</v>
      </c>
      <c r="R80" s="68">
        <v>3.1930960577608141</v>
      </c>
      <c r="S80" s="68">
        <v>5.7414755739786996</v>
      </c>
    </row>
    <row r="81" spans="1:19" x14ac:dyDescent="0.35">
      <c r="A81" s="69" t="s">
        <v>26</v>
      </c>
      <c r="B81" t="s">
        <v>94</v>
      </c>
      <c r="C81" t="s">
        <v>117</v>
      </c>
      <c r="D81" t="s">
        <v>90</v>
      </c>
      <c r="E81" s="75" t="s">
        <v>741</v>
      </c>
      <c r="O81" s="68">
        <v>2.5586701366681806</v>
      </c>
      <c r="P81" s="68">
        <v>3.0580773656438942</v>
      </c>
      <c r="Q81" s="68">
        <v>3.223347610010403</v>
      </c>
      <c r="R81" s="68">
        <v>3.4328302288097765</v>
      </c>
      <c r="S81" s="68">
        <v>5.9923601715880768</v>
      </c>
    </row>
    <row r="82" spans="1:19" x14ac:dyDescent="0.35">
      <c r="A82" s="69" t="s">
        <v>27</v>
      </c>
      <c r="B82" t="s">
        <v>94</v>
      </c>
      <c r="C82" t="s">
        <v>117</v>
      </c>
      <c r="D82" t="s">
        <v>90</v>
      </c>
      <c r="E82" s="75" t="s">
        <v>742</v>
      </c>
      <c r="O82" s="68">
        <v>2.8102898455519973</v>
      </c>
      <c r="P82" s="68">
        <v>3.4064738856368724</v>
      </c>
      <c r="Q82" s="68">
        <v>3.6104548544470454</v>
      </c>
      <c r="R82" s="68">
        <v>3.848970516579167</v>
      </c>
      <c r="S82" s="68">
        <v>6.4278558215792998</v>
      </c>
    </row>
    <row r="83" spans="1:19" x14ac:dyDescent="0.35">
      <c r="A83" s="69" t="s">
        <v>28</v>
      </c>
      <c r="B83" t="s">
        <v>94</v>
      </c>
      <c r="C83" t="s">
        <v>117</v>
      </c>
      <c r="D83" t="s">
        <v>90</v>
      </c>
      <c r="E83" s="75" t="s">
        <v>743</v>
      </c>
      <c r="O83" s="68">
        <v>2.5241875739334465</v>
      </c>
      <c r="P83" s="68">
        <v>3.0103322787804152</v>
      </c>
      <c r="Q83" s="68">
        <v>3.1702975134954272</v>
      </c>
      <c r="R83" s="68">
        <v>3.3758013750561786</v>
      </c>
      <c r="S83" s="68">
        <v>5.9326788130087307</v>
      </c>
    </row>
    <row r="84" spans="1:19" x14ac:dyDescent="0.35">
      <c r="A84" s="69" t="s">
        <v>29</v>
      </c>
      <c r="B84" t="s">
        <v>94</v>
      </c>
      <c r="C84" t="s">
        <v>117</v>
      </c>
      <c r="D84" t="s">
        <v>90</v>
      </c>
      <c r="E84" s="75" t="s">
        <v>744</v>
      </c>
      <c r="O84" s="68">
        <v>2.5044829216159736</v>
      </c>
      <c r="P84" s="68">
        <v>2.9830489140331453</v>
      </c>
      <c r="Q84" s="68">
        <v>3.1399826637762382</v>
      </c>
      <c r="R84" s="68">
        <v>3.3432129116080502</v>
      </c>
      <c r="S84" s="68">
        <v>5.8985746070746439</v>
      </c>
    </row>
    <row r="85" spans="1:19" x14ac:dyDescent="0.35">
      <c r="A85" s="69" t="s">
        <v>30</v>
      </c>
      <c r="B85" t="s">
        <v>94</v>
      </c>
      <c r="C85" t="s">
        <v>117</v>
      </c>
      <c r="D85" t="s">
        <v>90</v>
      </c>
      <c r="E85" s="75" t="s">
        <v>745</v>
      </c>
      <c r="O85" s="68">
        <v>2.7939652567519979</v>
      </c>
      <c r="P85" s="68">
        <v>3.383870608836872</v>
      </c>
      <c r="Q85" s="68">
        <v>3.5853401024470455</v>
      </c>
      <c r="R85" s="68">
        <v>3.8219721581791672</v>
      </c>
      <c r="S85" s="68">
        <v>6.3996017255793012</v>
      </c>
    </row>
    <row r="86" spans="1:19" x14ac:dyDescent="0.35">
      <c r="A86" s="69" t="s">
        <v>31</v>
      </c>
      <c r="B86" t="s">
        <v>94</v>
      </c>
      <c r="C86" t="s">
        <v>117</v>
      </c>
      <c r="D86" t="s">
        <v>90</v>
      </c>
      <c r="E86" s="75" t="s">
        <v>746</v>
      </c>
      <c r="O86" s="68">
        <v>2.3826004147568032</v>
      </c>
      <c r="P86" s="68">
        <v>2.8142885199204488</v>
      </c>
      <c r="Q86" s="68">
        <v>2.9524711147621296</v>
      </c>
      <c r="R86" s="68">
        <v>3.1416379964178844</v>
      </c>
      <c r="S86" s="68">
        <v>5.6876241144337731</v>
      </c>
    </row>
    <row r="87" spans="1:19" x14ac:dyDescent="0.35">
      <c r="A87" s="69" t="s">
        <v>32</v>
      </c>
      <c r="B87" t="s">
        <v>94</v>
      </c>
      <c r="C87" t="s">
        <v>117</v>
      </c>
      <c r="D87" t="s">
        <v>90</v>
      </c>
      <c r="E87" s="75" t="s">
        <v>747</v>
      </c>
      <c r="O87" s="68">
        <v>2.1829095581610058</v>
      </c>
      <c r="P87" s="68">
        <v>2.537793487710883</v>
      </c>
      <c r="Q87" s="68">
        <v>2.6452544123070565</v>
      </c>
      <c r="R87" s="68">
        <v>2.8113800412786798</v>
      </c>
      <c r="S87" s="68">
        <v>5.3420053241718159</v>
      </c>
    </row>
    <row r="88" spans="1:19" x14ac:dyDescent="0.35">
      <c r="A88" s="69" t="s">
        <v>33</v>
      </c>
      <c r="B88" t="s">
        <v>94</v>
      </c>
      <c r="C88" t="s">
        <v>117</v>
      </c>
      <c r="D88" t="s">
        <v>90</v>
      </c>
      <c r="E88" s="75" t="s">
        <v>748</v>
      </c>
      <c r="O88" s="68">
        <v>2.2336200549029686</v>
      </c>
      <c r="P88" s="68">
        <v>2.6080080216612922</v>
      </c>
      <c r="Q88" s="68">
        <v>2.7232705611408456</v>
      </c>
      <c r="R88" s="68">
        <v>2.8952474012750034</v>
      </c>
      <c r="S88" s="68">
        <v>5.4297734916098266</v>
      </c>
    </row>
    <row r="89" spans="1:19" x14ac:dyDescent="0.35">
      <c r="A89" s="69" t="s">
        <v>34</v>
      </c>
      <c r="B89" t="s">
        <v>94</v>
      </c>
      <c r="C89" t="s">
        <v>117</v>
      </c>
      <c r="D89" t="s">
        <v>90</v>
      </c>
      <c r="E89" s="75" t="s">
        <v>749</v>
      </c>
      <c r="O89" s="68">
        <v>2.2317180556710881</v>
      </c>
      <c r="P89" s="68">
        <v>2.6053744842633035</v>
      </c>
      <c r="Q89" s="68">
        <v>2.720344408476413</v>
      </c>
      <c r="R89" s="68">
        <v>2.8921017871607382</v>
      </c>
      <c r="S89" s="68">
        <v>5.4264815698623403</v>
      </c>
    </row>
    <row r="90" spans="1:19" x14ac:dyDescent="0.35">
      <c r="A90" s="69" t="s">
        <v>4</v>
      </c>
      <c r="B90" t="s">
        <v>94</v>
      </c>
      <c r="C90" t="s">
        <v>117</v>
      </c>
      <c r="D90" t="s">
        <v>90</v>
      </c>
      <c r="E90" s="75" t="s">
        <v>750</v>
      </c>
      <c r="O90" s="68">
        <v>2.6936935214404198</v>
      </c>
      <c r="P90" s="68">
        <v>3.2450328214823796</v>
      </c>
      <c r="Q90" s="68">
        <v>3.431075894275387</v>
      </c>
      <c r="R90" s="68">
        <v>3.6561381343946344</v>
      </c>
      <c r="S90" s="68">
        <v>6.2260544913861828</v>
      </c>
    </row>
    <row r="91" spans="1:19" x14ac:dyDescent="0.35">
      <c r="A91" s="69" t="s">
        <v>35</v>
      </c>
      <c r="B91" t="s">
        <v>94</v>
      </c>
      <c r="C91" t="s">
        <v>117</v>
      </c>
      <c r="D91" t="s">
        <v>90</v>
      </c>
      <c r="E91" s="75" t="s">
        <v>751</v>
      </c>
      <c r="O91" s="68">
        <v>2.6739621393655537</v>
      </c>
      <c r="P91" s="68">
        <v>3.1951684151509663</v>
      </c>
      <c r="Q91" s="68">
        <v>3.3675539690681551</v>
      </c>
      <c r="R91" s="68">
        <v>3.5863512065665639</v>
      </c>
      <c r="S91" s="68">
        <v>6.2646432143804391</v>
      </c>
    </row>
    <row r="92" spans="1:19" x14ac:dyDescent="0.35">
      <c r="A92" s="2" t="s">
        <v>23</v>
      </c>
      <c r="B92" t="s">
        <v>121</v>
      </c>
      <c r="D92" s="70" t="s">
        <v>125</v>
      </c>
      <c r="F92" s="341"/>
      <c r="G92" s="342">
        <v>1.3189067113081276</v>
      </c>
      <c r="H92" s="342">
        <v>1.5282167801215489</v>
      </c>
      <c r="I92" s="342">
        <v>1.7183473677122747</v>
      </c>
      <c r="J92" s="342">
        <v>1.9083993659340395</v>
      </c>
      <c r="K92" s="342">
        <v>2.239565819680903</v>
      </c>
      <c r="L92" s="342">
        <v>3.5580987490368203</v>
      </c>
      <c r="M92" s="342">
        <v>5.4813848691690632</v>
      </c>
      <c r="N92" s="342">
        <v>18.368898669036543</v>
      </c>
      <c r="O92" s="343"/>
      <c r="P92" s="343"/>
      <c r="Q92" s="343"/>
      <c r="R92" s="343"/>
    </row>
    <row r="93" spans="1:19" x14ac:dyDescent="0.35">
      <c r="A93" s="2" t="s">
        <v>23</v>
      </c>
      <c r="B93" t="s">
        <v>121</v>
      </c>
      <c r="D93" s="70" t="s">
        <v>126</v>
      </c>
      <c r="F93" s="341"/>
      <c r="G93" s="342">
        <v>1.8155685887403161</v>
      </c>
      <c r="H93" s="342">
        <v>2.1145754259303202</v>
      </c>
      <c r="I93" s="342">
        <v>2.3874809060616862</v>
      </c>
      <c r="J93" s="342">
        <v>2.6594877579980989</v>
      </c>
      <c r="K93" s="342">
        <v>3.1585995529865207</v>
      </c>
      <c r="L93" s="342">
        <v>5.144042274649169</v>
      </c>
      <c r="M93" s="342">
        <v>7.6599791353243365</v>
      </c>
      <c r="N93" s="342">
        <v>23.172073825994843</v>
      </c>
      <c r="O93" s="343"/>
      <c r="P93" s="343"/>
      <c r="Q93" s="343"/>
      <c r="R93" s="343"/>
    </row>
    <row r="94" spans="1:19" x14ac:dyDescent="0.35">
      <c r="A94" s="2" t="s">
        <v>23</v>
      </c>
      <c r="B94" t="s">
        <v>121</v>
      </c>
      <c r="D94" s="70" t="s">
        <v>127</v>
      </c>
      <c r="F94" s="341"/>
      <c r="G94" s="342">
        <v>2.0492267626227547</v>
      </c>
      <c r="H94" s="342">
        <v>2.3835643737859376</v>
      </c>
      <c r="I94" s="342">
        <v>2.6893285314126363</v>
      </c>
      <c r="J94" s="342">
        <v>2.9899468446232484</v>
      </c>
      <c r="K94" s="342">
        <v>3.5176739470213803</v>
      </c>
      <c r="L94" s="342">
        <v>5.5930678722695726</v>
      </c>
      <c r="M94" s="342">
        <v>8.2991105120417323</v>
      </c>
      <c r="N94" s="342">
        <v>23.978017310904431</v>
      </c>
      <c r="O94" s="343"/>
      <c r="P94" s="343"/>
      <c r="Q94" s="343"/>
      <c r="R94" s="343"/>
    </row>
    <row r="95" spans="1:19" x14ac:dyDescent="0.35">
      <c r="A95" s="2" t="s">
        <v>23</v>
      </c>
      <c r="B95" t="s">
        <v>121</v>
      </c>
      <c r="D95" s="2" t="s">
        <v>128</v>
      </c>
      <c r="F95" s="341"/>
      <c r="G95" s="342">
        <v>2.6285057746772904</v>
      </c>
      <c r="H95" s="342">
        <v>3.0461259170710213</v>
      </c>
      <c r="I95" s="342">
        <v>3.4252717129540025</v>
      </c>
      <c r="J95" s="342">
        <v>3.8041449460337011</v>
      </c>
      <c r="K95" s="342">
        <v>4.4651124754206801</v>
      </c>
      <c r="L95" s="342">
        <v>7.0991206564004976</v>
      </c>
      <c r="M95" s="342">
        <v>10.939885232041911</v>
      </c>
      <c r="N95" s="342">
        <v>28.073996671826514</v>
      </c>
      <c r="O95" s="343"/>
      <c r="P95" s="343"/>
      <c r="Q95" s="343"/>
      <c r="R95" s="343"/>
    </row>
    <row r="96" spans="1:19" x14ac:dyDescent="0.35">
      <c r="A96" s="2" t="s">
        <v>23</v>
      </c>
      <c r="B96" t="s">
        <v>121</v>
      </c>
      <c r="D96" s="2" t="s">
        <v>129</v>
      </c>
      <c r="F96" s="341"/>
      <c r="G96" s="342">
        <v>3.2765444803280199</v>
      </c>
      <c r="H96" s="342">
        <v>3.7983947713333404</v>
      </c>
      <c r="I96" s="342">
        <v>4.274848839991968</v>
      </c>
      <c r="J96" s="342">
        <v>4.7502103070213204</v>
      </c>
      <c r="K96" s="342">
        <v>5.5936565578848674</v>
      </c>
      <c r="L96" s="342">
        <v>8.9403581105422525</v>
      </c>
      <c r="M96" s="342">
        <v>13.49899042682352</v>
      </c>
      <c r="N96" s="342">
        <v>33.352259369487655</v>
      </c>
      <c r="O96" s="343"/>
      <c r="P96" s="343"/>
      <c r="Q96" s="343"/>
      <c r="R96" s="343"/>
    </row>
    <row r="97" spans="1:19" x14ac:dyDescent="0.35">
      <c r="A97" s="2" t="s">
        <v>23</v>
      </c>
      <c r="B97" t="s">
        <v>121</v>
      </c>
      <c r="D97" s="2" t="s">
        <v>130</v>
      </c>
      <c r="F97" s="341"/>
      <c r="G97" s="342">
        <v>4.089145877306545</v>
      </c>
      <c r="H97" s="342">
        <v>4.7568211043997994</v>
      </c>
      <c r="I97" s="342">
        <v>5.3672340403547256</v>
      </c>
      <c r="J97" s="342">
        <v>5.9672399034121186</v>
      </c>
      <c r="K97" s="342">
        <v>7.0213287301016347</v>
      </c>
      <c r="L97" s="342">
        <v>11.169058902866006</v>
      </c>
      <c r="M97" s="342">
        <v>16.575336517787253</v>
      </c>
      <c r="N97" s="342">
        <v>39.292233955562281</v>
      </c>
      <c r="O97" s="343"/>
      <c r="P97" s="343"/>
      <c r="Q97" s="343"/>
      <c r="R97" s="343"/>
    </row>
    <row r="98" spans="1:19" x14ac:dyDescent="0.35">
      <c r="A98" s="2" t="s">
        <v>23</v>
      </c>
      <c r="B98" t="s">
        <v>121</v>
      </c>
      <c r="D98" s="186" t="s">
        <v>274</v>
      </c>
      <c r="E98" s="191"/>
      <c r="F98" s="341"/>
      <c r="G98" s="342">
        <v>8.4070294388563944</v>
      </c>
      <c r="H98" s="342">
        <v>9.3093034852181447</v>
      </c>
      <c r="I98" s="342">
        <v>10.168048992637805</v>
      </c>
      <c r="J98" s="342">
        <v>11.002124375492514</v>
      </c>
      <c r="K98" s="342">
        <v>12.256429464551385</v>
      </c>
      <c r="L98" s="342">
        <v>17.702324401421649</v>
      </c>
      <c r="M98" s="342">
        <v>25.687683357152828</v>
      </c>
      <c r="N98" s="342">
        <v>49.148671538617101</v>
      </c>
      <c r="O98" s="343"/>
      <c r="P98" s="343"/>
      <c r="Q98" s="343"/>
      <c r="R98" s="343"/>
    </row>
    <row r="99" spans="1:19" x14ac:dyDescent="0.35">
      <c r="A99" s="2" t="s">
        <v>23</v>
      </c>
      <c r="B99" t="s">
        <v>121</v>
      </c>
      <c r="D99" s="186" t="s">
        <v>275</v>
      </c>
      <c r="E99" s="191"/>
      <c r="F99" s="341"/>
      <c r="G99" s="342">
        <v>10.24460345676933</v>
      </c>
      <c r="H99" s="342">
        <v>11.436268741111048</v>
      </c>
      <c r="I99" s="342">
        <v>12.567139956278313</v>
      </c>
      <c r="J99" s="342">
        <v>13.671790541451232</v>
      </c>
      <c r="K99" s="342">
        <v>15.393864109349762</v>
      </c>
      <c r="L99" s="342">
        <v>22.502116132478257</v>
      </c>
      <c r="M99" s="342">
        <v>32.876295203374269</v>
      </c>
      <c r="N99" s="342">
        <v>62.402125589418233</v>
      </c>
      <c r="O99" s="343"/>
      <c r="P99" s="343"/>
      <c r="Q99" s="343"/>
      <c r="R99" s="343"/>
    </row>
    <row r="100" spans="1:19" x14ac:dyDescent="0.35">
      <c r="A100" s="2" t="s">
        <v>23</v>
      </c>
      <c r="B100" t="s">
        <v>121</v>
      </c>
      <c r="D100" s="186" t="s">
        <v>276</v>
      </c>
      <c r="E100" s="191"/>
      <c r="F100" s="341"/>
      <c r="G100" s="342">
        <v>11.596227511960135</v>
      </c>
      <c r="H100" s="342">
        <v>12.984178566426374</v>
      </c>
      <c r="I100" s="342">
        <v>14.301941579404376</v>
      </c>
      <c r="J100" s="342">
        <v>15.588416707340908</v>
      </c>
      <c r="K100" s="342">
        <v>17.578309151665469</v>
      </c>
      <c r="L100" s="342">
        <v>25.851499122233371</v>
      </c>
      <c r="M100" s="342">
        <v>38.273352826242203</v>
      </c>
      <c r="N100" s="342">
        <v>72.578267414905525</v>
      </c>
      <c r="O100" s="343"/>
      <c r="P100" s="343"/>
      <c r="Q100" s="343"/>
      <c r="R100" s="343"/>
    </row>
    <row r="101" spans="1:19" x14ac:dyDescent="0.35">
      <c r="A101" s="2" t="s">
        <v>23</v>
      </c>
      <c r="B101" t="s">
        <v>121</v>
      </c>
      <c r="D101" s="2" t="s">
        <v>131</v>
      </c>
      <c r="F101" s="341"/>
      <c r="G101" s="342">
        <v>9.141286736438115</v>
      </c>
      <c r="H101" s="342">
        <v>10.162960783431277</v>
      </c>
      <c r="I101" s="342">
        <v>11.126755619149982</v>
      </c>
      <c r="J101" s="342">
        <v>12.074180789311688</v>
      </c>
      <c r="K101" s="342">
        <v>13.582807814188712</v>
      </c>
      <c r="L101" s="342">
        <v>19.92339090781271</v>
      </c>
      <c r="M101" s="342">
        <v>28.919142753643772</v>
      </c>
      <c r="N101" s="342">
        <v>56.041851277378299</v>
      </c>
      <c r="O101" s="343"/>
      <c r="P101" s="343"/>
      <c r="Q101" s="343"/>
      <c r="R101" s="343"/>
    </row>
    <row r="102" spans="1:19" x14ac:dyDescent="0.35">
      <c r="A102" s="2" t="s">
        <v>23</v>
      </c>
      <c r="B102" t="s">
        <v>121</v>
      </c>
      <c r="D102" s="2" t="s">
        <v>132</v>
      </c>
      <c r="F102" s="341"/>
      <c r="G102" s="342">
        <v>11.013027258149039</v>
      </c>
      <c r="H102" s="342">
        <v>12.325990682222058</v>
      </c>
      <c r="I102" s="342">
        <v>13.563809364788263</v>
      </c>
      <c r="J102" s="342">
        <v>14.783707876368066</v>
      </c>
      <c r="K102" s="342">
        <v>16.762001519184636</v>
      </c>
      <c r="L102" s="342">
        <v>24.774432394566308</v>
      </c>
      <c r="M102" s="342">
        <v>36.167545981511694</v>
      </c>
      <c r="N102" s="342">
        <v>69.370044555237541</v>
      </c>
      <c r="O102" s="343"/>
      <c r="P102" s="343"/>
      <c r="Q102" s="343"/>
      <c r="R102" s="343"/>
    </row>
    <row r="103" spans="1:19" x14ac:dyDescent="0.35">
      <c r="A103" s="2" t="s">
        <v>23</v>
      </c>
      <c r="B103" t="s">
        <v>121</v>
      </c>
      <c r="D103" s="2" t="s">
        <v>133</v>
      </c>
      <c r="F103" s="341"/>
      <c r="G103" s="342">
        <v>12.744102866351485</v>
      </c>
      <c r="H103" s="342">
        <v>14.330413587790488</v>
      </c>
      <c r="I103" s="342">
        <v>15.825263719572945</v>
      </c>
      <c r="J103" s="342">
        <v>17.296306386495889</v>
      </c>
      <c r="K103" s="342">
        <v>19.697729005844923</v>
      </c>
      <c r="L103" s="342">
        <v>29.505714737101354</v>
      </c>
      <c r="M103" s="342">
        <v>43.422478323555062</v>
      </c>
      <c r="N103" s="342">
        <v>83.949013224038353</v>
      </c>
      <c r="O103" s="343"/>
      <c r="P103" s="343"/>
      <c r="Q103" s="343"/>
      <c r="R103" s="343"/>
    </row>
    <row r="104" spans="1:19" x14ac:dyDescent="0.35">
      <c r="A104" s="2" t="s">
        <v>23</v>
      </c>
      <c r="B104" t="s">
        <v>121</v>
      </c>
      <c r="D104" s="186" t="s">
        <v>277</v>
      </c>
      <c r="E104" s="191"/>
      <c r="F104" s="341"/>
      <c r="G104" s="342">
        <v>10.779383528603027</v>
      </c>
      <c r="H104" s="342">
        <v>12.035885540910877</v>
      </c>
      <c r="I104" s="342">
        <v>13.217685573134073</v>
      </c>
      <c r="J104" s="342">
        <v>14.38716918258708</v>
      </c>
      <c r="K104" s="342">
        <v>16.258830641402074</v>
      </c>
      <c r="L104" s="342">
        <v>23.815709870694011</v>
      </c>
      <c r="M104" s="342">
        <v>35.052961394352153</v>
      </c>
      <c r="N104" s="342">
        <v>66.573731878956636</v>
      </c>
      <c r="O104" s="343"/>
      <c r="P104" s="343"/>
      <c r="Q104" s="343"/>
      <c r="R104" s="343"/>
    </row>
    <row r="105" spans="1:19" x14ac:dyDescent="0.35">
      <c r="A105" s="2" t="s">
        <v>23</v>
      </c>
      <c r="B105" t="s">
        <v>121</v>
      </c>
      <c r="D105" s="186" t="s">
        <v>281</v>
      </c>
      <c r="E105" s="191"/>
      <c r="F105" s="341"/>
      <c r="G105" s="342">
        <v>13.264996252166693</v>
      </c>
      <c r="H105" s="342">
        <v>14.893074847863781</v>
      </c>
      <c r="I105" s="342">
        <v>16.510443270217184</v>
      </c>
      <c r="J105" s="342">
        <v>18.024945512735737</v>
      </c>
      <c r="K105" s="342">
        <v>20.524809368664631</v>
      </c>
      <c r="L105" s="342">
        <v>30.672515528185691</v>
      </c>
      <c r="M105" s="342">
        <v>45.295874528335005</v>
      </c>
      <c r="N105" s="342">
        <v>87.090584292659329</v>
      </c>
      <c r="O105" s="343"/>
      <c r="P105" s="343"/>
      <c r="Q105" s="343"/>
      <c r="R105" s="343"/>
    </row>
    <row r="106" spans="1:19" x14ac:dyDescent="0.35">
      <c r="A106" s="2" t="s">
        <v>23</v>
      </c>
      <c r="B106" t="s">
        <v>121</v>
      </c>
      <c r="D106" s="186" t="s">
        <v>277</v>
      </c>
      <c r="E106" s="191"/>
      <c r="F106" s="341"/>
      <c r="G106" s="342">
        <v>15.34694035867212</v>
      </c>
      <c r="H106" s="342">
        <v>17.362466676450456</v>
      </c>
      <c r="I106" s="342">
        <v>19.172136450638977</v>
      </c>
      <c r="J106" s="342">
        <v>21.045163960516934</v>
      </c>
      <c r="K106" s="342">
        <v>23.987362538320816</v>
      </c>
      <c r="L106" s="342">
        <v>35.885180775284887</v>
      </c>
      <c r="M106" s="342">
        <v>53.318171755591514</v>
      </c>
      <c r="N106" s="342">
        <v>101.88327692739428</v>
      </c>
      <c r="O106" s="343"/>
      <c r="P106" s="343"/>
      <c r="Q106" s="343"/>
      <c r="R106" s="343"/>
    </row>
    <row r="107" spans="1:19" x14ac:dyDescent="0.35">
      <c r="A107" s="2" t="s">
        <v>23</v>
      </c>
      <c r="B107" t="s">
        <v>121</v>
      </c>
      <c r="D107" s="2" t="s">
        <v>134</v>
      </c>
      <c r="F107" s="341"/>
      <c r="G107" s="342">
        <v>11.513640826184746</v>
      </c>
      <c r="H107" s="342">
        <v>12.88954283912401</v>
      </c>
      <c r="I107" s="342">
        <v>14.176392199646253</v>
      </c>
      <c r="J107" s="342">
        <v>15.459225596406254</v>
      </c>
      <c r="K107" s="342">
        <v>17.585208991039398</v>
      </c>
      <c r="L107" s="342">
        <v>26.036776377085083</v>
      </c>
      <c r="M107" s="342">
        <v>38.284420790843107</v>
      </c>
      <c r="N107" s="342">
        <v>73.466911617717841</v>
      </c>
      <c r="O107" s="343"/>
      <c r="P107" s="343"/>
      <c r="Q107" s="343"/>
      <c r="R107" s="343"/>
    </row>
    <row r="108" spans="1:19" x14ac:dyDescent="0.35">
      <c r="A108" s="2" t="s">
        <v>23</v>
      </c>
      <c r="B108" t="s">
        <v>121</v>
      </c>
      <c r="D108" s="2" t="s">
        <v>135</v>
      </c>
      <c r="F108" s="341"/>
      <c r="G108" s="342">
        <v>14.033420053546399</v>
      </c>
      <c r="H108" s="342">
        <v>15.782796788974796</v>
      </c>
      <c r="I108" s="342">
        <v>17.507112678727125</v>
      </c>
      <c r="J108" s="342">
        <v>19.136862847652566</v>
      </c>
      <c r="K108" s="342">
        <v>21.8929467784995</v>
      </c>
      <c r="L108" s="342">
        <v>32.944831790273746</v>
      </c>
      <c r="M108" s="342">
        <v>48.587125306472437</v>
      </c>
      <c r="N108" s="342">
        <v>94.058503258478623</v>
      </c>
      <c r="O108" s="343"/>
      <c r="P108" s="343"/>
      <c r="Q108" s="343"/>
      <c r="R108" s="343"/>
    </row>
    <row r="109" spans="1:19" x14ac:dyDescent="0.35">
      <c r="A109" s="2" t="s">
        <v>23</v>
      </c>
      <c r="B109" t="s">
        <v>121</v>
      </c>
      <c r="D109" s="2" t="s">
        <v>136</v>
      </c>
      <c r="F109" s="341"/>
      <c r="G109" s="342">
        <v>16.49481571306347</v>
      </c>
      <c r="H109" s="342">
        <v>18.708701697814568</v>
      </c>
      <c r="I109" s="342">
        <v>20.69545859080754</v>
      </c>
      <c r="J109" s="342">
        <v>22.753053639671915</v>
      </c>
      <c r="K109" s="342">
        <v>26.106782392500275</v>
      </c>
      <c r="L109" s="342">
        <v>39.539396390152874</v>
      </c>
      <c r="M109" s="342">
        <v>58.467297252904373</v>
      </c>
      <c r="N109" s="342">
        <v>113.25402273652709</v>
      </c>
      <c r="O109" s="343"/>
      <c r="P109" s="343"/>
      <c r="Q109" s="343"/>
      <c r="R109" s="343"/>
    </row>
    <row r="110" spans="1:19" x14ac:dyDescent="0.35">
      <c r="B110" t="s">
        <v>121</v>
      </c>
      <c r="D110" s="2" t="s">
        <v>137</v>
      </c>
      <c r="F110" s="341"/>
      <c r="G110" s="343"/>
      <c r="H110" s="343"/>
      <c r="I110" s="343"/>
      <c r="J110" s="343"/>
      <c r="K110" s="343"/>
      <c r="L110" s="343"/>
      <c r="M110" s="343"/>
      <c r="N110" s="343"/>
      <c r="O110" s="344">
        <v>128.65323287535472</v>
      </c>
      <c r="P110" s="344">
        <v>383.84432409448135</v>
      </c>
      <c r="Q110" s="344">
        <v>517.88214668659236</v>
      </c>
      <c r="R110" s="344">
        <v>623.26625971453609</v>
      </c>
      <c r="S110" s="68">
        <v>776.44629874971565</v>
      </c>
    </row>
    <row r="111" spans="1:19" x14ac:dyDescent="0.35">
      <c r="B111" t="s">
        <v>121</v>
      </c>
      <c r="D111" s="2" t="s">
        <v>138</v>
      </c>
      <c r="F111" s="341"/>
      <c r="G111" s="343"/>
      <c r="H111" s="343"/>
      <c r="I111" s="343"/>
      <c r="J111" s="343"/>
      <c r="K111" s="343"/>
      <c r="L111" s="343"/>
      <c r="M111" s="343"/>
      <c r="N111" s="343"/>
      <c r="O111" s="344">
        <v>171.92225738500321</v>
      </c>
      <c r="P111" s="344">
        <v>498.65146912674862</v>
      </c>
      <c r="Q111" s="344">
        <v>670.18911296055489</v>
      </c>
      <c r="R111" s="344">
        <v>810.95767269861119</v>
      </c>
      <c r="S111" s="68">
        <v>987.11067914677994</v>
      </c>
    </row>
    <row r="112" spans="1:19" x14ac:dyDescent="0.35">
      <c r="B112" t="s">
        <v>121</v>
      </c>
      <c r="D112" s="39" t="s">
        <v>154</v>
      </c>
      <c r="E112" s="91"/>
      <c r="F112" s="191"/>
      <c r="G112" s="349">
        <v>1.8155685887403161</v>
      </c>
      <c r="H112" s="349">
        <v>2.1145754259303202</v>
      </c>
      <c r="I112" s="349">
        <v>2.3874809060616862</v>
      </c>
      <c r="J112" s="349">
        <v>2.6594877579980989</v>
      </c>
      <c r="K112" s="349">
        <v>3.1585995529865207</v>
      </c>
      <c r="L112" s="349">
        <v>5.144042274649169</v>
      </c>
      <c r="M112" s="349">
        <v>7.6599791353243365</v>
      </c>
      <c r="N112" s="349">
        <v>23.172073825994843</v>
      </c>
      <c r="O112" s="345"/>
      <c r="P112" s="345"/>
      <c r="Q112" s="345"/>
      <c r="R112" s="345"/>
    </row>
    <row r="113" spans="1:18" ht="43.5" x14ac:dyDescent="0.35">
      <c r="A113" s="188" t="s">
        <v>297</v>
      </c>
      <c r="B113" t="s">
        <v>121</v>
      </c>
      <c r="D113" s="2" t="s">
        <v>155</v>
      </c>
      <c r="E113" s="91" t="s">
        <v>70</v>
      </c>
      <c r="F113" s="191"/>
      <c r="G113" s="350">
        <v>9307.6479389643773</v>
      </c>
      <c r="H113" s="350">
        <v>7576.8869585784387</v>
      </c>
      <c r="I113" s="350">
        <v>8384.5754160918768</v>
      </c>
      <c r="J113" s="350">
        <v>8826.8809999682817</v>
      </c>
      <c r="K113" s="350">
        <v>9788.4148779604711</v>
      </c>
      <c r="L113" s="350">
        <v>12019.173474902347</v>
      </c>
      <c r="M113" s="350">
        <v>15499.926113234065</v>
      </c>
      <c r="N113" s="350">
        <v>21807.588352862818</v>
      </c>
      <c r="O113" s="345"/>
      <c r="P113" s="345"/>
      <c r="Q113" s="345"/>
      <c r="R113" s="345"/>
    </row>
    <row r="114" spans="1:18" x14ac:dyDescent="0.35">
      <c r="A114" s="189"/>
      <c r="B114" t="s">
        <v>121</v>
      </c>
      <c r="D114" s="2" t="s">
        <v>155</v>
      </c>
      <c r="E114" s="91" t="s">
        <v>71</v>
      </c>
      <c r="F114" s="191"/>
      <c r="G114" s="350">
        <v>7576.8869585784387</v>
      </c>
      <c r="H114" s="350">
        <v>10307.643172076252</v>
      </c>
      <c r="I114" s="350">
        <v>8384.5754160918768</v>
      </c>
      <c r="J114" s="350">
        <v>8826.8809999682817</v>
      </c>
      <c r="K114" s="350">
        <v>9788.4148779604711</v>
      </c>
      <c r="L114" s="350">
        <v>11423.02247054719</v>
      </c>
      <c r="M114" s="350">
        <v>14019.163941126099</v>
      </c>
      <c r="N114" s="350">
        <v>17942.222163334223</v>
      </c>
      <c r="O114" s="345"/>
      <c r="P114" s="345"/>
      <c r="Q114" s="345"/>
      <c r="R114" s="345"/>
    </row>
    <row r="115" spans="1:18" x14ac:dyDescent="0.35">
      <c r="A115" s="189"/>
      <c r="B115" t="s">
        <v>121</v>
      </c>
      <c r="D115" s="2" t="s">
        <v>155</v>
      </c>
      <c r="E115" s="91" t="s">
        <v>72</v>
      </c>
      <c r="F115" s="191"/>
      <c r="G115" s="350">
        <v>8384.5754160918768</v>
      </c>
      <c r="H115" s="350">
        <v>8384.5754160918768</v>
      </c>
      <c r="I115" s="350">
        <v>11423.02247054719</v>
      </c>
      <c r="J115" s="350">
        <v>9307.6479389643773</v>
      </c>
      <c r="K115" s="350">
        <v>9788.4148779604711</v>
      </c>
      <c r="L115" s="350">
        <v>11423.02247054719</v>
      </c>
      <c r="M115" s="350">
        <v>14019.163941126099</v>
      </c>
      <c r="N115" s="350">
        <v>17942.222163334223</v>
      </c>
      <c r="O115" s="345"/>
      <c r="P115" s="345"/>
      <c r="Q115" s="345"/>
      <c r="R115" s="345"/>
    </row>
    <row r="116" spans="1:18" x14ac:dyDescent="0.35">
      <c r="A116" s="189"/>
      <c r="B116" t="s">
        <v>121</v>
      </c>
      <c r="D116" s="2" t="s">
        <v>155</v>
      </c>
      <c r="E116" s="91" t="s">
        <v>73</v>
      </c>
      <c r="F116" s="191"/>
      <c r="G116" s="350">
        <v>8826.8809999682817</v>
      </c>
      <c r="H116" s="350">
        <v>8826.8809999682817</v>
      </c>
      <c r="I116" s="350">
        <v>9307.6479389643773</v>
      </c>
      <c r="J116" s="350">
        <v>12653.78583437719</v>
      </c>
      <c r="K116" s="350">
        <v>10307.643172076252</v>
      </c>
      <c r="L116" s="350">
        <v>12019.173474902347</v>
      </c>
      <c r="M116" s="350">
        <v>14749.92968840016</v>
      </c>
      <c r="N116" s="350">
        <v>17942.222163334223</v>
      </c>
      <c r="O116" s="345"/>
      <c r="P116" s="345"/>
      <c r="Q116" s="345"/>
      <c r="R116" s="345"/>
    </row>
    <row r="117" spans="1:18" x14ac:dyDescent="0.35">
      <c r="A117" s="189"/>
      <c r="B117" t="s">
        <v>121</v>
      </c>
      <c r="D117" s="2" t="s">
        <v>155</v>
      </c>
      <c r="E117" s="91" t="s">
        <v>74</v>
      </c>
      <c r="F117" s="191"/>
      <c r="G117" s="350">
        <v>9788.4148779604711</v>
      </c>
      <c r="H117" s="350">
        <v>9788.4148779604711</v>
      </c>
      <c r="I117" s="350">
        <v>9788.4148779604711</v>
      </c>
      <c r="J117" s="350">
        <v>10307.643172076252</v>
      </c>
      <c r="K117" s="350">
        <v>14019.163941126099</v>
      </c>
      <c r="L117" s="350">
        <v>12019.173474902347</v>
      </c>
      <c r="M117" s="350">
        <v>14749.92968840016</v>
      </c>
      <c r="N117" s="350">
        <v>17942.222163334223</v>
      </c>
      <c r="O117" s="345"/>
      <c r="P117" s="345"/>
      <c r="Q117" s="345"/>
      <c r="R117" s="345"/>
    </row>
    <row r="118" spans="1:18" x14ac:dyDescent="0.35">
      <c r="A118" s="189"/>
      <c r="B118" t="s">
        <v>121</v>
      </c>
      <c r="D118" s="2" t="s">
        <v>155</v>
      </c>
      <c r="E118" s="366" t="s">
        <v>75</v>
      </c>
      <c r="F118" s="191"/>
      <c r="G118" s="350">
        <v>12019.173474902347</v>
      </c>
      <c r="H118" s="350">
        <v>11423.02247054719</v>
      </c>
      <c r="I118" s="350">
        <v>11423.02247054719</v>
      </c>
      <c r="J118" s="350">
        <v>12019.1734749023</v>
      </c>
      <c r="K118" s="350">
        <v>12019.173474902347</v>
      </c>
      <c r="L118" s="350">
        <v>17076.841673141254</v>
      </c>
      <c r="M118" s="350">
        <v>15499.926113234065</v>
      </c>
      <c r="N118" s="350">
        <v>18826.833331087037</v>
      </c>
      <c r="O118" s="345"/>
      <c r="P118" s="345"/>
      <c r="Q118" s="345"/>
      <c r="R118" s="345"/>
    </row>
    <row r="119" spans="1:18" x14ac:dyDescent="0.35">
      <c r="A119" s="189"/>
      <c r="B119" t="s">
        <v>121</v>
      </c>
      <c r="D119" s="2" t="s">
        <v>155</v>
      </c>
      <c r="E119" s="91" t="s">
        <v>76</v>
      </c>
      <c r="F119" s="191"/>
      <c r="G119" s="350">
        <v>15499.926113234065</v>
      </c>
      <c r="H119" s="350">
        <v>14019.163941126099</v>
      </c>
      <c r="I119" s="350">
        <v>14019.163941126099</v>
      </c>
      <c r="J119" s="350">
        <v>14749.92968840016</v>
      </c>
      <c r="K119" s="350">
        <v>14749.92968840016</v>
      </c>
      <c r="L119" s="350">
        <v>15499.926113234065</v>
      </c>
      <c r="M119" s="350">
        <v>22884.506296214066</v>
      </c>
      <c r="N119" s="350">
        <v>20769.131764631253</v>
      </c>
      <c r="O119" s="345"/>
      <c r="P119" s="345"/>
      <c r="Q119" s="345"/>
      <c r="R119" s="345"/>
    </row>
    <row r="120" spans="1:18" x14ac:dyDescent="0.35">
      <c r="A120" s="189"/>
      <c r="B120" t="s">
        <v>121</v>
      </c>
      <c r="D120" s="2" t="s">
        <v>155</v>
      </c>
      <c r="E120" s="91" t="s">
        <v>272</v>
      </c>
      <c r="F120" s="191"/>
      <c r="G120" s="350">
        <v>21807.588352862818</v>
      </c>
      <c r="H120" s="350">
        <v>17942.222163334223</v>
      </c>
      <c r="I120" s="350">
        <v>17942.222163334223</v>
      </c>
      <c r="J120" s="350">
        <v>17942.222163334223</v>
      </c>
      <c r="K120" s="350">
        <v>17942.222163334223</v>
      </c>
      <c r="L120" s="350">
        <v>18826.833331087037</v>
      </c>
      <c r="M120" s="350">
        <v>20769.131764631253</v>
      </c>
      <c r="N120" s="350">
        <v>30672.930707950785</v>
      </c>
      <c r="O120" s="345"/>
      <c r="P120" s="345"/>
      <c r="Q120" s="345"/>
      <c r="R120" s="345"/>
    </row>
    <row r="121" spans="1:18" x14ac:dyDescent="0.35">
      <c r="A121" s="189"/>
      <c r="B121" t="s">
        <v>121</v>
      </c>
      <c r="D121" s="2" t="s">
        <v>155</v>
      </c>
      <c r="E121" s="91" t="s">
        <v>97</v>
      </c>
      <c r="F121" s="341"/>
      <c r="G121" s="346"/>
      <c r="H121" s="346"/>
      <c r="I121" s="346"/>
      <c r="J121" s="346"/>
      <c r="K121" s="346"/>
      <c r="L121" s="346"/>
      <c r="M121" s="346"/>
      <c r="N121" s="346"/>
      <c r="O121" s="345"/>
      <c r="P121" s="345"/>
      <c r="Q121" s="345"/>
      <c r="R121" s="345"/>
    </row>
    <row r="122" spans="1:18" x14ac:dyDescent="0.35">
      <c r="A122" s="189"/>
      <c r="B122" t="s">
        <v>121</v>
      </c>
      <c r="D122" s="2" t="s">
        <v>155</v>
      </c>
      <c r="E122" s="91" t="s">
        <v>98</v>
      </c>
      <c r="F122" s="341"/>
      <c r="G122" s="346"/>
      <c r="H122" s="346"/>
      <c r="I122" s="346"/>
      <c r="J122" s="346"/>
      <c r="K122" s="346"/>
      <c r="L122" s="346"/>
      <c r="M122" s="346"/>
      <c r="N122" s="346"/>
      <c r="O122" s="345"/>
      <c r="P122" s="345"/>
      <c r="Q122" s="345"/>
      <c r="R122" s="345"/>
    </row>
    <row r="123" spans="1:18" x14ac:dyDescent="0.35">
      <c r="A123" s="189"/>
      <c r="B123" t="s">
        <v>121</v>
      </c>
      <c r="D123" s="2" t="s">
        <v>155</v>
      </c>
      <c r="E123" s="91" t="s">
        <v>99</v>
      </c>
      <c r="F123" s="341"/>
      <c r="G123" s="346"/>
      <c r="H123" s="346"/>
      <c r="I123" s="346"/>
      <c r="J123" s="346"/>
      <c r="K123" s="346"/>
      <c r="L123" s="346"/>
      <c r="M123" s="346"/>
      <c r="N123" s="346"/>
      <c r="O123" s="345"/>
      <c r="P123" s="345"/>
      <c r="Q123" s="345"/>
      <c r="R123" s="345"/>
    </row>
    <row r="124" spans="1:18" x14ac:dyDescent="0.35">
      <c r="A124" s="189"/>
      <c r="B124" t="s">
        <v>121</v>
      </c>
      <c r="D124" s="2" t="s">
        <v>155</v>
      </c>
      <c r="E124" s="91" t="s">
        <v>100</v>
      </c>
      <c r="F124" s="341"/>
      <c r="G124" s="346"/>
      <c r="H124" s="346"/>
      <c r="I124" s="346"/>
      <c r="J124" s="346"/>
      <c r="K124" s="346"/>
      <c r="L124" s="346"/>
      <c r="M124" s="346"/>
      <c r="N124" s="346"/>
      <c r="O124" s="345"/>
      <c r="P124" s="345"/>
      <c r="Q124" s="345"/>
      <c r="R124" s="345"/>
    </row>
    <row r="125" spans="1:18" x14ac:dyDescent="0.35">
      <c r="D125" s="2"/>
      <c r="O125" s="80"/>
      <c r="P125" s="80"/>
      <c r="Q125" s="80"/>
      <c r="R125" s="80"/>
    </row>
    <row r="126" spans="1:18" ht="15" thickBot="1" x14ac:dyDescent="0.4">
      <c r="H126" t="str">
        <f>'Exploratory cost estimate'!A49</f>
        <v xml:space="preserve">Transformer MVA:  </v>
      </c>
      <c r="J126">
        <f>'Exploratory cost estimate'!B49</f>
        <v>400</v>
      </c>
    </row>
    <row r="127" spans="1:18" x14ac:dyDescent="0.35">
      <c r="A127" s="83" t="s">
        <v>104</v>
      </c>
      <c r="G127" s="180"/>
      <c r="J127" s="353">
        <f>J118*J126</f>
        <v>4807669.3899609195</v>
      </c>
    </row>
    <row r="128" spans="1:18" ht="15" thickBot="1" x14ac:dyDescent="0.4">
      <c r="A128" s="84" t="s">
        <v>123</v>
      </c>
      <c r="G128" s="180"/>
      <c r="J128" s="351">
        <f>J112*1000000</f>
        <v>2659487.7579980991</v>
      </c>
    </row>
    <row r="129" spans="1:10" x14ac:dyDescent="0.35">
      <c r="A129" s="69" t="s">
        <v>117</v>
      </c>
      <c r="G129" s="180"/>
      <c r="J129" s="351">
        <f>L112*1000000</f>
        <v>5144042.2746491693</v>
      </c>
    </row>
    <row r="130" spans="1:10" ht="15" thickBot="1" x14ac:dyDescent="0.4">
      <c r="A130" s="69" t="s">
        <v>118</v>
      </c>
      <c r="J130" s="352">
        <f>SUM(J127:J129)</f>
        <v>12611199.422608187</v>
      </c>
    </row>
    <row r="131" spans="1:10" ht="15" thickTop="1" x14ac:dyDescent="0.35">
      <c r="A131" s="69" t="s">
        <v>120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A1:O46"/>
  <sheetViews>
    <sheetView zoomScaleNormal="100" workbookViewId="0"/>
  </sheetViews>
  <sheetFormatPr defaultColWidth="9.1796875" defaultRowHeight="12.5" x14ac:dyDescent="0.25"/>
  <cols>
    <col min="1" max="1" width="13.54296875" style="2" bestFit="1" customWidth="1"/>
    <col min="2" max="10" width="14.54296875" style="2" customWidth="1"/>
    <col min="11" max="11" width="12.1796875" style="2" bestFit="1" customWidth="1"/>
    <col min="12" max="12" width="12.54296875" style="2" bestFit="1" customWidth="1"/>
    <col min="13" max="13" width="15.1796875" style="2" bestFit="1" customWidth="1"/>
    <col min="14" max="14" width="9.1796875" style="2"/>
    <col min="15" max="15" width="9.1796875" style="2" customWidth="1"/>
    <col min="16" max="16384" width="9.1796875" style="2"/>
  </cols>
  <sheetData>
    <row r="1" spans="1:15" ht="13" x14ac:dyDescent="0.3">
      <c r="A1" s="1" t="s">
        <v>0</v>
      </c>
      <c r="D1" s="3"/>
    </row>
    <row r="2" spans="1:15" ht="13" x14ac:dyDescent="0.3">
      <c r="A2" s="364" t="s">
        <v>656</v>
      </c>
      <c r="B2" s="364"/>
      <c r="C2" s="364"/>
      <c r="D2" s="364"/>
      <c r="E2" s="364"/>
      <c r="F2" s="364"/>
      <c r="G2" s="364"/>
      <c r="H2" s="364"/>
    </row>
    <row r="3" spans="1:15" ht="13" x14ac:dyDescent="0.3">
      <c r="A3" s="1"/>
      <c r="D3" s="3"/>
    </row>
    <row r="4" spans="1:15" ht="15" customHeight="1" x14ac:dyDescent="0.3">
      <c r="A4" s="362" t="s">
        <v>1</v>
      </c>
      <c r="B4" s="363"/>
      <c r="D4" s="5"/>
      <c r="E4" s="3"/>
    </row>
    <row r="5" spans="1:15" ht="13" x14ac:dyDescent="0.3">
      <c r="E5" s="3"/>
      <c r="F5" s="184" t="s">
        <v>2</v>
      </c>
      <c r="G5" s="184"/>
      <c r="H5" s="184"/>
      <c r="I5" s="184"/>
      <c r="J5" s="184"/>
    </row>
    <row r="6" spans="1:15" ht="13" x14ac:dyDescent="0.3">
      <c r="A6" s="362" t="s">
        <v>3</v>
      </c>
      <c r="B6" s="363"/>
      <c r="D6" s="16" t="s">
        <v>25</v>
      </c>
      <c r="E6" s="3"/>
      <c r="F6" s="6" t="s">
        <v>5</v>
      </c>
      <c r="G6" s="6" t="s">
        <v>6</v>
      </c>
      <c r="H6" s="6" t="s">
        <v>7</v>
      </c>
      <c r="I6" s="6" t="s">
        <v>8</v>
      </c>
      <c r="J6" s="6" t="s">
        <v>9</v>
      </c>
    </row>
    <row r="7" spans="1:15" ht="13" x14ac:dyDescent="0.3">
      <c r="A7" s="362" t="s">
        <v>10</v>
      </c>
      <c r="B7" s="363"/>
      <c r="D7" s="5">
        <v>2.5000000000000001E-2</v>
      </c>
      <c r="E7" s="3"/>
      <c r="F7" s="7">
        <v>0.01</v>
      </c>
      <c r="G7" s="7">
        <v>0.04</v>
      </c>
      <c r="H7" s="7">
        <v>0.35</v>
      </c>
      <c r="I7" s="7">
        <v>0.35</v>
      </c>
      <c r="J7" s="8">
        <f>1-SUM(F7:I7)</f>
        <v>0.25</v>
      </c>
    </row>
    <row r="8" spans="1:15" x14ac:dyDescent="0.25">
      <c r="A8" s="362" t="s">
        <v>11</v>
      </c>
      <c r="B8" s="363"/>
      <c r="C8" s="90"/>
      <c r="D8" s="25">
        <v>100000000</v>
      </c>
      <c r="E8" s="9"/>
      <c r="F8" s="23">
        <f>F$7*D8</f>
        <v>1000000</v>
      </c>
      <c r="G8" s="23">
        <f>G7*D8</f>
        <v>4000000</v>
      </c>
      <c r="H8" s="23">
        <f>H7*D8</f>
        <v>35000000</v>
      </c>
      <c r="I8" s="23">
        <f>I7*D8</f>
        <v>35000000</v>
      </c>
      <c r="J8" s="23">
        <f>J7*D8</f>
        <v>25000000</v>
      </c>
      <c r="M8" s="9"/>
    </row>
    <row r="9" spans="1:15" x14ac:dyDescent="0.25">
      <c r="A9" s="362" t="s">
        <v>12</v>
      </c>
      <c r="B9" s="362"/>
      <c r="C9" s="5">
        <v>0.2</v>
      </c>
      <c r="D9" s="23">
        <f>ROUND(D8*C9,0)</f>
        <v>20000000</v>
      </c>
      <c r="F9" s="28">
        <f>F7*$D9</f>
        <v>200000</v>
      </c>
      <c r="G9" s="28">
        <f>G7*$D9</f>
        <v>800000</v>
      </c>
      <c r="H9" s="28">
        <f>H7*$D9</f>
        <v>7000000</v>
      </c>
      <c r="I9" s="28">
        <f>I7*$D9</f>
        <v>7000000</v>
      </c>
      <c r="J9" s="28">
        <f>J7*$D9</f>
        <v>5000000</v>
      </c>
    </row>
    <row r="10" spans="1:15" x14ac:dyDescent="0.25">
      <c r="A10" s="362" t="s">
        <v>13</v>
      </c>
      <c r="B10" s="362"/>
      <c r="C10" s="5">
        <v>7.4999999999999997E-2</v>
      </c>
      <c r="D10" s="23">
        <f>SUM(F10:J10)</f>
        <v>16173781.892578125</v>
      </c>
      <c r="F10" s="192">
        <f>IF(SUM(F8:F9)&gt;0,(SUM(F8:F9)/2*C10),0)</f>
        <v>45000</v>
      </c>
      <c r="G10" s="192">
        <f>IF(SUM(G8:G9)&gt;0,(SUM(G8:G9)/2+SUM($F$11:F11))*$C$10,0)</f>
        <v>273375</v>
      </c>
      <c r="H10" s="23">
        <f>IF(SUM(H8:H9)&gt;0,(SUM(H8:H9)/2+SUM($F$11:G11))*$C$10,0)</f>
        <v>2048878.125</v>
      </c>
      <c r="I10" s="23">
        <f>IF(SUM(I8:I9)&gt;0,(SUM(I8:I9)/2+SUM($F$11:H11))*$C$10,0)</f>
        <v>5352543.984375</v>
      </c>
      <c r="J10" s="23">
        <f>IF(SUM(J8:J9)&gt;0,(SUM(J8:J9)/2+SUM($F$11:I11))*$C$10,0)</f>
        <v>8453984.783203125</v>
      </c>
      <c r="M10" s="155"/>
      <c r="O10" s="178"/>
    </row>
    <row r="11" spans="1:15" ht="13" customHeight="1" thickBot="1" x14ac:dyDescent="0.3">
      <c r="A11" s="362" t="s">
        <v>653</v>
      </c>
      <c r="B11" s="362"/>
      <c r="D11" s="26">
        <f>SUM(D8:D10)</f>
        <v>136173781.89257813</v>
      </c>
      <c r="F11" s="26">
        <f t="shared" ref="F11:J11" si="0">SUM(F8:F10)</f>
        <v>1245000</v>
      </c>
      <c r="G11" s="26">
        <f t="shared" si="0"/>
        <v>5073375</v>
      </c>
      <c r="H11" s="26">
        <f t="shared" si="0"/>
        <v>44048878.125</v>
      </c>
      <c r="I11" s="26">
        <f t="shared" si="0"/>
        <v>47352543.984375</v>
      </c>
      <c r="J11" s="26">
        <f t="shared" si="0"/>
        <v>38453984.783203125</v>
      </c>
      <c r="K11" s="28"/>
      <c r="L11" s="167"/>
      <c r="N11" s="35"/>
      <c r="O11" s="35"/>
    </row>
    <row r="12" spans="1:15" ht="13" thickTop="1" x14ac:dyDescent="0.25">
      <c r="A12" s="10"/>
      <c r="B12" s="10"/>
      <c r="D12" s="9"/>
      <c r="F12" s="35"/>
      <c r="G12" s="23"/>
      <c r="H12" s="23"/>
      <c r="I12" s="23"/>
      <c r="J12" s="23"/>
    </row>
    <row r="13" spans="1:15" ht="13" thickBot="1" x14ac:dyDescent="0.3">
      <c r="A13" s="4" t="s">
        <v>273</v>
      </c>
      <c r="D13" s="27">
        <f>SUM(F13:J13)</f>
        <v>149817666.15988261</v>
      </c>
      <c r="F13" s="26">
        <f>F$11*((1+D$7)^1)</f>
        <v>1276125</v>
      </c>
      <c r="G13" s="26">
        <f>G$11*((1+D$7)^2)</f>
        <v>5330214.609375</v>
      </c>
      <c r="H13" s="26">
        <f>H$11*((1+D$7)^3)</f>
        <v>47435823.894580074</v>
      </c>
      <c r="I13" s="26">
        <f>I$11*((1+D$7)^4)</f>
        <v>52268348.453840412</v>
      </c>
      <c r="J13" s="26">
        <f>J$11*((1+D$7)^5)</f>
        <v>43507154.202087119</v>
      </c>
    </row>
    <row r="14" spans="1:15" ht="13" thickTop="1" x14ac:dyDescent="0.25">
      <c r="A14" s="4"/>
      <c r="C14" s="45" t="s">
        <v>280</v>
      </c>
      <c r="D14" s="35">
        <f>(D13-D11)/D11</f>
        <v>0.10019464890875673</v>
      </c>
      <c r="F14" s="35"/>
      <c r="G14" s="11"/>
      <c r="H14" s="11"/>
      <c r="I14" s="11"/>
    </row>
    <row r="15" spans="1:15" x14ac:dyDescent="0.25">
      <c r="A15" s="4"/>
      <c r="C15" s="45" t="s">
        <v>284</v>
      </c>
      <c r="D15" s="35">
        <f>D10/SUM(D8:D9)</f>
        <v>0.13478151577148437</v>
      </c>
      <c r="F15" s="2" t="s">
        <v>285</v>
      </c>
    </row>
    <row r="16" spans="1:15" x14ac:dyDescent="0.25">
      <c r="A16" s="4"/>
      <c r="C16" s="45"/>
      <c r="D16" s="35"/>
    </row>
    <row r="17" spans="1:9" x14ac:dyDescent="0.25">
      <c r="B17" s="4"/>
      <c r="D17" s="31"/>
      <c r="H17" s="179">
        <v>7.0999999999999994E-2</v>
      </c>
    </row>
    <row r="18" spans="1:9" ht="52" x14ac:dyDescent="0.25">
      <c r="A18" s="21" t="s">
        <v>14</v>
      </c>
      <c r="B18" s="21" t="s">
        <v>15</v>
      </c>
      <c r="C18" s="21" t="s">
        <v>16</v>
      </c>
      <c r="D18" s="22" t="s">
        <v>17</v>
      </c>
      <c r="E18" s="22" t="s">
        <v>19</v>
      </c>
      <c r="F18" s="22" t="s">
        <v>18</v>
      </c>
      <c r="G18" s="21" t="s">
        <v>20</v>
      </c>
      <c r="H18" s="181" t="s">
        <v>38</v>
      </c>
      <c r="I18" s="181" t="s">
        <v>37</v>
      </c>
    </row>
    <row r="19" spans="1:9" x14ac:dyDescent="0.25">
      <c r="A19" s="12" t="s">
        <v>21</v>
      </c>
      <c r="E19" s="29"/>
      <c r="F19" s="29"/>
      <c r="H19" s="13">
        <v>1</v>
      </c>
    </row>
    <row r="20" spans="1:9" x14ac:dyDescent="0.25">
      <c r="A20" s="12">
        <v>1</v>
      </c>
      <c r="H20" s="13">
        <f t="shared" ref="H20:H44" si="1">H19/(1+H$17)</f>
        <v>0.93370681605975725</v>
      </c>
    </row>
    <row r="21" spans="1:9" x14ac:dyDescent="0.25">
      <c r="A21" s="12">
        <f t="shared" ref="A21:A44" si="2">A20+1</f>
        <v>2</v>
      </c>
      <c r="H21" s="13">
        <f t="shared" si="1"/>
        <v>0.8718084183564494</v>
      </c>
    </row>
    <row r="22" spans="1:9" x14ac:dyDescent="0.25">
      <c r="A22" s="12">
        <f t="shared" si="2"/>
        <v>3</v>
      </c>
      <c r="H22" s="13">
        <f t="shared" si="1"/>
        <v>0.81401346251769324</v>
      </c>
    </row>
    <row r="23" spans="1:9" x14ac:dyDescent="0.25">
      <c r="A23" s="12">
        <f t="shared" si="2"/>
        <v>4</v>
      </c>
      <c r="H23" s="13">
        <f t="shared" si="1"/>
        <v>0.76004991831717394</v>
      </c>
    </row>
    <row r="24" spans="1:9" x14ac:dyDescent="0.25">
      <c r="A24" s="12">
        <f t="shared" si="2"/>
        <v>5</v>
      </c>
      <c r="E24" s="182">
        <f>VLOOKUP(D6,'Cost over time data'!A2:C18,3,FALSE)</f>
        <v>8.4434599589322382E-2</v>
      </c>
      <c r="F24" s="14"/>
      <c r="H24" s="13">
        <f t="shared" si="1"/>
        <v>0.70966378927840712</v>
      </c>
    </row>
    <row r="25" spans="1:9" x14ac:dyDescent="0.25">
      <c r="A25" s="12">
        <f t="shared" si="2"/>
        <v>6</v>
      </c>
      <c r="B25" s="23">
        <f>D13</f>
        <v>149817666.15988261</v>
      </c>
      <c r="C25" s="23">
        <f>B25*(1-SUM($D$25:D25))</f>
        <v>146072224.50588554</v>
      </c>
      <c r="D25" s="14">
        <f>1/40</f>
        <v>2.5000000000000001E-2</v>
      </c>
      <c r="E25" s="15">
        <f t="shared" ref="E25:E44" si="3">(C25/B25)*$E$24</f>
        <v>8.2323734599589318E-2</v>
      </c>
      <c r="F25" s="182">
        <f>VLOOKUP(D6,'Cost over time data'!A2:C18,2,FALSE)</f>
        <v>3.424816252274105E-2</v>
      </c>
      <c r="G25" s="23">
        <f>B25*SUM(D25:F25)</f>
        <v>21209971.220694534</v>
      </c>
      <c r="H25" s="13">
        <f t="shared" si="1"/>
        <v>0.66261791716004403</v>
      </c>
      <c r="I25" s="183">
        <f t="shared" ref="I25:I44" si="4">G25*H25</f>
        <v>14054106.95328109</v>
      </c>
    </row>
    <row r="26" spans="1:9" x14ac:dyDescent="0.25">
      <c r="A26" s="12">
        <f t="shared" si="2"/>
        <v>7</v>
      </c>
      <c r="B26" s="23">
        <f>B25</f>
        <v>149817666.15988261</v>
      </c>
      <c r="C26" s="23">
        <f>B26*(1-SUM($D$25:D26))</f>
        <v>142326782.85188848</v>
      </c>
      <c r="D26" s="14">
        <f t="shared" ref="D26:D41" si="5">D25</f>
        <v>2.5000000000000001E-2</v>
      </c>
      <c r="E26" s="15">
        <f t="shared" si="3"/>
        <v>8.0212869609856269E-2</v>
      </c>
      <c r="F26" s="15">
        <f t="shared" ref="F26:F44" si="6">F25</f>
        <v>3.424816252274105E-2</v>
      </c>
      <c r="G26" s="23">
        <f t="shared" ref="G26:G44" si="7">B26*SUM(D26:F26)</f>
        <v>20893726.354354125</v>
      </c>
      <c r="H26" s="13">
        <f t="shared" si="1"/>
        <v>0.61869086569565268</v>
      </c>
      <c r="I26" s="183">
        <f t="shared" si="4"/>
        <v>12926757.645783426</v>
      </c>
    </row>
    <row r="27" spans="1:9" x14ac:dyDescent="0.25">
      <c r="A27" s="12">
        <f t="shared" si="2"/>
        <v>8</v>
      </c>
      <c r="B27" s="23">
        <f t="shared" ref="B27:B44" si="8">B26</f>
        <v>149817666.15988261</v>
      </c>
      <c r="C27" s="23">
        <f>B27*(1-SUM($D$25:D27))</f>
        <v>138581341.19789141</v>
      </c>
      <c r="D27" s="14">
        <f t="shared" si="5"/>
        <v>2.5000000000000001E-2</v>
      </c>
      <c r="E27" s="15">
        <f t="shared" si="3"/>
        <v>7.8102004620123205E-2</v>
      </c>
      <c r="F27" s="15">
        <f t="shared" si="6"/>
        <v>3.424816252274105E-2</v>
      </c>
      <c r="G27" s="23">
        <f t="shared" si="7"/>
        <v>20577481.488013711</v>
      </c>
      <c r="H27" s="13">
        <f t="shared" si="1"/>
        <v>0.57767587833394274</v>
      </c>
      <c r="I27" s="183">
        <f t="shared" si="4"/>
        <v>11887114.692488767</v>
      </c>
    </row>
    <row r="28" spans="1:9" x14ac:dyDescent="0.25">
      <c r="A28" s="12">
        <f t="shared" si="2"/>
        <v>9</v>
      </c>
      <c r="B28" s="23">
        <f t="shared" si="8"/>
        <v>149817666.15988261</v>
      </c>
      <c r="C28" s="23">
        <f>B28*(1-SUM($D$25:D28))</f>
        <v>134835899.54389435</v>
      </c>
      <c r="D28" s="14">
        <f t="shared" si="5"/>
        <v>2.5000000000000001E-2</v>
      </c>
      <c r="E28" s="15">
        <f t="shared" si="3"/>
        <v>7.5991139630390142E-2</v>
      </c>
      <c r="F28" s="15">
        <f t="shared" si="6"/>
        <v>3.424816252274105E-2</v>
      </c>
      <c r="G28" s="23">
        <f t="shared" si="7"/>
        <v>20261236.621673301</v>
      </c>
      <c r="H28" s="13">
        <f t="shared" si="1"/>
        <v>0.53937990507370936</v>
      </c>
      <c r="I28" s="183">
        <f t="shared" si="4"/>
        <v>10928503.88567411</v>
      </c>
    </row>
    <row r="29" spans="1:9" x14ac:dyDescent="0.25">
      <c r="A29" s="12">
        <f t="shared" si="2"/>
        <v>10</v>
      </c>
      <c r="B29" s="23">
        <f t="shared" si="8"/>
        <v>149817666.15988261</v>
      </c>
      <c r="C29" s="23">
        <f>B29*(1-SUM($D$25:D29))</f>
        <v>131090457.88989729</v>
      </c>
      <c r="D29" s="14">
        <f t="shared" si="5"/>
        <v>2.5000000000000001E-2</v>
      </c>
      <c r="E29" s="15">
        <f t="shared" si="3"/>
        <v>7.3880274640657079E-2</v>
      </c>
      <c r="F29" s="15">
        <f t="shared" si="6"/>
        <v>3.424816252274105E-2</v>
      </c>
      <c r="G29" s="23">
        <f t="shared" si="7"/>
        <v>19944991.755332887</v>
      </c>
      <c r="H29" s="13">
        <f t="shared" si="1"/>
        <v>0.5036226938129873</v>
      </c>
      <c r="I29" s="183">
        <f t="shared" si="4"/>
        <v>10044750.475898571</v>
      </c>
    </row>
    <row r="30" spans="1:9" x14ac:dyDescent="0.25">
      <c r="A30" s="12">
        <f t="shared" si="2"/>
        <v>11</v>
      </c>
      <c r="B30" s="23">
        <f t="shared" si="8"/>
        <v>149817666.15988261</v>
      </c>
      <c r="C30" s="23">
        <f>B30*(1-SUM($D$25:D30))</f>
        <v>127345016.23590021</v>
      </c>
      <c r="D30" s="14">
        <f t="shared" si="5"/>
        <v>2.5000000000000001E-2</v>
      </c>
      <c r="E30" s="15">
        <f t="shared" si="3"/>
        <v>7.1769409650924029E-2</v>
      </c>
      <c r="F30" s="15">
        <f t="shared" si="6"/>
        <v>3.424816252274105E-2</v>
      </c>
      <c r="G30" s="23">
        <f t="shared" si="7"/>
        <v>19628746.888992481</v>
      </c>
      <c r="H30" s="13">
        <f t="shared" si="1"/>
        <v>0.4702359419355624</v>
      </c>
      <c r="I30" s="183">
        <f t="shared" si="4"/>
        <v>9230142.2823601197</v>
      </c>
    </row>
    <row r="31" spans="1:9" x14ac:dyDescent="0.25">
      <c r="A31" s="12">
        <f t="shared" si="2"/>
        <v>12</v>
      </c>
      <c r="B31" s="23">
        <f t="shared" si="8"/>
        <v>149817666.15988261</v>
      </c>
      <c r="C31" s="23">
        <f>B31*(1-SUM($D$25:D31))</f>
        <v>123599574.58190314</v>
      </c>
      <c r="D31" s="14">
        <f t="shared" si="5"/>
        <v>2.5000000000000001E-2</v>
      </c>
      <c r="E31" s="15">
        <f t="shared" si="3"/>
        <v>6.9658544661190966E-2</v>
      </c>
      <c r="F31" s="15">
        <f t="shared" si="6"/>
        <v>3.424816252274105E-2</v>
      </c>
      <c r="G31" s="23">
        <f t="shared" si="7"/>
        <v>19312502.022652067</v>
      </c>
      <c r="H31" s="13">
        <f t="shared" si="1"/>
        <v>0.43906250414151488</v>
      </c>
      <c r="I31" s="183">
        <f t="shared" si="4"/>
        <v>8479395.4993036874</v>
      </c>
    </row>
    <row r="32" spans="1:9" x14ac:dyDescent="0.25">
      <c r="A32" s="12">
        <f t="shared" si="2"/>
        <v>13</v>
      </c>
      <c r="B32" s="23">
        <f t="shared" si="8"/>
        <v>149817666.15988261</v>
      </c>
      <c r="C32" s="23">
        <f>B32*(1-SUM($D$25:D32))</f>
        <v>119854132.9279061</v>
      </c>
      <c r="D32" s="14">
        <f t="shared" si="5"/>
        <v>2.5000000000000001E-2</v>
      </c>
      <c r="E32" s="15">
        <f t="shared" si="3"/>
        <v>6.7547679671457903E-2</v>
      </c>
      <c r="F32" s="15">
        <f t="shared" si="6"/>
        <v>3.424816252274105E-2</v>
      </c>
      <c r="G32" s="23">
        <f t="shared" si="7"/>
        <v>18996257.156311657</v>
      </c>
      <c r="H32" s="13">
        <f t="shared" si="1"/>
        <v>0.40995565279319784</v>
      </c>
      <c r="I32" s="183">
        <f t="shared" si="4"/>
        <v>7787623.0031432016</v>
      </c>
    </row>
    <row r="33" spans="1:13" x14ac:dyDescent="0.25">
      <c r="A33" s="12">
        <f t="shared" si="2"/>
        <v>14</v>
      </c>
      <c r="B33" s="23">
        <f t="shared" si="8"/>
        <v>149817666.15988261</v>
      </c>
      <c r="C33" s="23">
        <f>B33*(1-SUM($D$25:D33))</f>
        <v>116108691.27390902</v>
      </c>
      <c r="D33" s="14">
        <f t="shared" si="5"/>
        <v>2.5000000000000001E-2</v>
      </c>
      <c r="E33" s="15">
        <f t="shared" si="3"/>
        <v>6.5436814681724853E-2</v>
      </c>
      <c r="F33" s="15">
        <f t="shared" si="6"/>
        <v>3.424816252274105E-2</v>
      </c>
      <c r="G33" s="23">
        <f t="shared" si="7"/>
        <v>18680012.289971244</v>
      </c>
      <c r="H33" s="13">
        <f t="shared" si="1"/>
        <v>0.38277838729523611</v>
      </c>
      <c r="I33" s="183">
        <f t="shared" si="4"/>
        <v>7150304.9790103827</v>
      </c>
    </row>
    <row r="34" spans="1:13" x14ac:dyDescent="0.25">
      <c r="A34" s="12">
        <f t="shared" si="2"/>
        <v>15</v>
      </c>
      <c r="B34" s="23">
        <f t="shared" si="8"/>
        <v>149817666.15988261</v>
      </c>
      <c r="C34" s="23">
        <f>B34*(1-SUM($D$25:D34))</f>
        <v>112363249.61991195</v>
      </c>
      <c r="D34" s="14">
        <f t="shared" si="5"/>
        <v>2.5000000000000001E-2</v>
      </c>
      <c r="E34" s="15">
        <f t="shared" si="3"/>
        <v>6.332594969199179E-2</v>
      </c>
      <c r="F34" s="15">
        <f t="shared" si="6"/>
        <v>3.424816252274105E-2</v>
      </c>
      <c r="G34" s="23">
        <f t="shared" si="7"/>
        <v>18363767.42363083</v>
      </c>
      <c r="H34" s="13">
        <f t="shared" si="1"/>
        <v>0.35740278925792357</v>
      </c>
      <c r="I34" s="183">
        <f t="shared" si="4"/>
        <v>6563261.6984894518</v>
      </c>
    </row>
    <row r="35" spans="1:13" x14ac:dyDescent="0.25">
      <c r="A35" s="12">
        <f t="shared" si="2"/>
        <v>16</v>
      </c>
      <c r="B35" s="23">
        <f t="shared" si="8"/>
        <v>149817666.15988261</v>
      </c>
      <c r="C35" s="23">
        <f>B35*(1-SUM($D$25:D35))</f>
        <v>108617807.96591491</v>
      </c>
      <c r="D35" s="14">
        <f t="shared" si="5"/>
        <v>2.5000000000000001E-2</v>
      </c>
      <c r="E35" s="15">
        <f t="shared" si="3"/>
        <v>6.1215084702258733E-2</v>
      </c>
      <c r="F35" s="15">
        <f t="shared" si="6"/>
        <v>3.424816252274105E-2</v>
      </c>
      <c r="G35" s="23">
        <f t="shared" si="7"/>
        <v>18047522.557290424</v>
      </c>
      <c r="H35" s="13">
        <f t="shared" si="1"/>
        <v>0.33370942040889223</v>
      </c>
      <c r="I35" s="183">
        <f t="shared" si="4"/>
        <v>6022628.2924097963</v>
      </c>
    </row>
    <row r="36" spans="1:13" x14ac:dyDescent="0.25">
      <c r="A36" s="12">
        <f t="shared" si="2"/>
        <v>17</v>
      </c>
      <c r="B36" s="23">
        <f t="shared" si="8"/>
        <v>149817666.15988261</v>
      </c>
      <c r="C36" s="23">
        <f>B36*(1-SUM($D$25:D36))</f>
        <v>104872366.31191781</v>
      </c>
      <c r="D36" s="14">
        <f t="shared" si="5"/>
        <v>2.5000000000000001E-2</v>
      </c>
      <c r="E36" s="15">
        <f t="shared" si="3"/>
        <v>5.9104219712525663E-2</v>
      </c>
      <c r="F36" s="15">
        <f t="shared" si="6"/>
        <v>3.424816252274105E-2</v>
      </c>
      <c r="G36" s="23">
        <f t="shared" si="7"/>
        <v>17731277.690950006</v>
      </c>
      <c r="H36" s="13">
        <f t="shared" si="1"/>
        <v>0.31158676041913375</v>
      </c>
      <c r="I36" s="183">
        <f t="shared" si="4"/>
        <v>5524831.3738151705</v>
      </c>
    </row>
    <row r="37" spans="1:13" x14ac:dyDescent="0.25">
      <c r="A37" s="12">
        <f t="shared" si="2"/>
        <v>18</v>
      </c>
      <c r="B37" s="23">
        <f t="shared" si="8"/>
        <v>149817666.15988261</v>
      </c>
      <c r="C37" s="23">
        <f>B37*(1-SUM($D$25:D37))</f>
        <v>101126924.65792076</v>
      </c>
      <c r="D37" s="14">
        <f t="shared" si="5"/>
        <v>2.5000000000000001E-2</v>
      </c>
      <c r="E37" s="15">
        <f t="shared" si="3"/>
        <v>5.6993354722792613E-2</v>
      </c>
      <c r="F37" s="15">
        <f t="shared" si="6"/>
        <v>3.424816252274105E-2</v>
      </c>
      <c r="G37" s="23">
        <f t="shared" si="7"/>
        <v>17415032.8246096</v>
      </c>
      <c r="H37" s="13">
        <f t="shared" si="1"/>
        <v>0.29093068199732375</v>
      </c>
      <c r="I37" s="183">
        <f t="shared" si="4"/>
        <v>5066567.3766694507</v>
      </c>
    </row>
    <row r="38" spans="1:13" x14ac:dyDescent="0.25">
      <c r="A38" s="12">
        <f t="shared" si="2"/>
        <v>19</v>
      </c>
      <c r="B38" s="23">
        <f t="shared" si="8"/>
        <v>149817666.15988261</v>
      </c>
      <c r="C38" s="23">
        <f>B38*(1-SUM($D$25:D38))</f>
        <v>97381483.003923684</v>
      </c>
      <c r="D38" s="14">
        <f t="shared" si="5"/>
        <v>2.5000000000000001E-2</v>
      </c>
      <c r="E38" s="15">
        <f t="shared" si="3"/>
        <v>5.4882489733059543E-2</v>
      </c>
      <c r="F38" s="15">
        <f t="shared" si="6"/>
        <v>3.424816252274105E-2</v>
      </c>
      <c r="G38" s="23">
        <f t="shared" si="7"/>
        <v>17098787.958269186</v>
      </c>
      <c r="H38" s="13">
        <f t="shared" si="1"/>
        <v>0.27164396078181491</v>
      </c>
      <c r="I38" s="183">
        <f t="shared" si="4"/>
        <v>4644782.4855526434</v>
      </c>
    </row>
    <row r="39" spans="1:13" x14ac:dyDescent="0.25">
      <c r="A39" s="12">
        <f t="shared" si="2"/>
        <v>20</v>
      </c>
      <c r="B39" s="23">
        <f t="shared" si="8"/>
        <v>149817666.15988261</v>
      </c>
      <c r="C39" s="23">
        <f>B39*(1-SUM($D$25:D39))</f>
        <v>93636041.349926621</v>
      </c>
      <c r="D39" s="14">
        <f t="shared" si="5"/>
        <v>2.5000000000000001E-2</v>
      </c>
      <c r="E39" s="15">
        <f t="shared" si="3"/>
        <v>5.2771624743326487E-2</v>
      </c>
      <c r="F39" s="15">
        <f t="shared" si="6"/>
        <v>3.424816252274105E-2</v>
      </c>
      <c r="G39" s="23">
        <f t="shared" si="7"/>
        <v>16782543.091928776</v>
      </c>
      <c r="H39" s="13">
        <f t="shared" si="1"/>
        <v>0.25363581772344995</v>
      </c>
      <c r="I39" s="183">
        <f t="shared" si="4"/>
        <v>4256654.0406003911</v>
      </c>
      <c r="M39" s="2" t="s">
        <v>36</v>
      </c>
    </row>
    <row r="40" spans="1:13" x14ac:dyDescent="0.25">
      <c r="A40" s="12">
        <f t="shared" si="2"/>
        <v>21</v>
      </c>
      <c r="B40" s="23">
        <f t="shared" si="8"/>
        <v>149817666.15988261</v>
      </c>
      <c r="C40" s="23">
        <f>B40*(1-SUM($D$25:D40))</f>
        <v>89890599.695929542</v>
      </c>
      <c r="D40" s="14">
        <f t="shared" si="5"/>
        <v>2.5000000000000001E-2</v>
      </c>
      <c r="E40" s="15">
        <f t="shared" si="3"/>
        <v>5.0660759753593416E-2</v>
      </c>
      <c r="F40" s="15">
        <f t="shared" si="6"/>
        <v>3.424816252274105E-2</v>
      </c>
      <c r="G40" s="23">
        <f t="shared" si="7"/>
        <v>16466298.225588363</v>
      </c>
      <c r="H40" s="13">
        <f t="shared" si="1"/>
        <v>0.2368214918052754</v>
      </c>
      <c r="I40" s="183">
        <f t="shared" si="4"/>
        <v>3899573.3102943953</v>
      </c>
    </row>
    <row r="41" spans="1:13" x14ac:dyDescent="0.25">
      <c r="A41" s="12">
        <f t="shared" si="2"/>
        <v>22</v>
      </c>
      <c r="B41" s="23">
        <f t="shared" si="8"/>
        <v>149817666.15988261</v>
      </c>
      <c r="C41" s="23">
        <f>B41*(1-SUM($D$25:D41))</f>
        <v>86145158.041932493</v>
      </c>
      <c r="D41" s="14">
        <f t="shared" si="5"/>
        <v>2.5000000000000001E-2</v>
      </c>
      <c r="E41" s="15">
        <f t="shared" si="3"/>
        <v>4.8549894763860367E-2</v>
      </c>
      <c r="F41" s="15">
        <f t="shared" si="6"/>
        <v>3.424816252274105E-2</v>
      </c>
      <c r="G41" s="23">
        <f t="shared" si="7"/>
        <v>16150053.359247951</v>
      </c>
      <c r="H41" s="13">
        <f t="shared" si="1"/>
        <v>0.2211218410880256</v>
      </c>
      <c r="I41" s="183">
        <f t="shared" si="4"/>
        <v>3571129.5324667594</v>
      </c>
    </row>
    <row r="42" spans="1:13" x14ac:dyDescent="0.25">
      <c r="A42" s="12">
        <f t="shared" si="2"/>
        <v>23</v>
      </c>
      <c r="B42" s="23">
        <f t="shared" si="8"/>
        <v>149817666.15988261</v>
      </c>
      <c r="C42" s="23">
        <f>B42*(1-SUM($D$25:D42))</f>
        <v>82399716.3879354</v>
      </c>
      <c r="D42" s="14">
        <f t="shared" ref="D42:D44" si="9">D41</f>
        <v>2.5000000000000001E-2</v>
      </c>
      <c r="E42" s="15">
        <f t="shared" si="3"/>
        <v>4.6439029774127297E-2</v>
      </c>
      <c r="F42" s="15">
        <f t="shared" si="6"/>
        <v>3.424816252274105E-2</v>
      </c>
      <c r="G42" s="23">
        <f t="shared" si="7"/>
        <v>15833808.492907539</v>
      </c>
      <c r="H42" s="13">
        <f t="shared" si="1"/>
        <v>0.20646297020357199</v>
      </c>
      <c r="I42" s="183">
        <f t="shared" si="4"/>
        <v>3269095.1310802344</v>
      </c>
    </row>
    <row r="43" spans="1:13" x14ac:dyDescent="0.25">
      <c r="A43" s="12">
        <f t="shared" si="2"/>
        <v>24</v>
      </c>
      <c r="B43" s="23">
        <f t="shared" si="8"/>
        <v>149817666.15988261</v>
      </c>
      <c r="C43" s="23">
        <f>B43*(1-SUM($D$25:D43))</f>
        <v>78654274.733938351</v>
      </c>
      <c r="D43" s="14">
        <f t="shared" si="9"/>
        <v>2.5000000000000001E-2</v>
      </c>
      <c r="E43" s="15">
        <f t="shared" si="3"/>
        <v>4.432816478439424E-2</v>
      </c>
      <c r="F43" s="15">
        <f t="shared" si="6"/>
        <v>3.424816252274105E-2</v>
      </c>
      <c r="G43" s="23">
        <f t="shared" si="7"/>
        <v>15517563.626567127</v>
      </c>
      <c r="H43" s="13">
        <f t="shared" si="1"/>
        <v>0.19277588254301775</v>
      </c>
      <c r="I43" s="183">
        <f t="shared" si="4"/>
        <v>2991412.0230289092</v>
      </c>
    </row>
    <row r="44" spans="1:13" x14ac:dyDescent="0.25">
      <c r="A44" s="12">
        <f t="shared" si="2"/>
        <v>25</v>
      </c>
      <c r="B44" s="23">
        <f t="shared" si="8"/>
        <v>149817666.15988261</v>
      </c>
      <c r="C44" s="23">
        <f>B44*(1-SUM($D$25:D44))</f>
        <v>74908833.079941288</v>
      </c>
      <c r="D44" s="14">
        <f t="shared" si="9"/>
        <v>2.5000000000000001E-2</v>
      </c>
      <c r="E44" s="15">
        <f t="shared" si="3"/>
        <v>4.2217299794661184E-2</v>
      </c>
      <c r="F44" s="15">
        <f t="shared" si="6"/>
        <v>3.424816252274105E-2</v>
      </c>
      <c r="G44" s="23">
        <f t="shared" si="7"/>
        <v>15201318.760226715</v>
      </c>
      <c r="H44" s="13">
        <f t="shared" si="1"/>
        <v>0.17999615550235085</v>
      </c>
      <c r="I44" s="183">
        <f t="shared" si="4"/>
        <v>2736178.9354065713</v>
      </c>
    </row>
    <row r="45" spans="1:13" ht="13.5" thickBot="1" x14ac:dyDescent="0.35">
      <c r="I45" s="24">
        <f>SUM(I25:I44)</f>
        <v>141034813.61675709</v>
      </c>
    </row>
    <row r="46" spans="1:13" ht="13" thickTop="1" x14ac:dyDescent="0.25"/>
  </sheetData>
  <mergeCells count="8">
    <mergeCell ref="A4:B4"/>
    <mergeCell ref="A11:B11"/>
    <mergeCell ref="A2:H2"/>
    <mergeCell ref="A6:B6"/>
    <mergeCell ref="A7:B7"/>
    <mergeCell ref="A8:B8"/>
    <mergeCell ref="A9:B9"/>
    <mergeCell ref="A10:B10"/>
  </mergeCell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'Cost over time data'!$A$3:$A$18</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87629"/>
  </sheetPr>
  <dimension ref="A1:D18"/>
  <sheetViews>
    <sheetView workbookViewId="0">
      <selection sqref="A1:C1"/>
    </sheetView>
  </sheetViews>
  <sheetFormatPr defaultColWidth="9.1796875" defaultRowHeight="12.5" x14ac:dyDescent="0.25"/>
  <cols>
    <col min="1" max="1" width="12.453125" style="2" bestFit="1" customWidth="1"/>
    <col min="2" max="2" width="28" style="2" customWidth="1"/>
    <col min="3" max="3" width="26.453125" style="2" customWidth="1"/>
    <col min="4" max="4" width="33.54296875" style="2" bestFit="1" customWidth="1"/>
    <col min="5" max="16384" width="9.1796875" style="2"/>
  </cols>
  <sheetData>
    <row r="1" spans="1:4" ht="15" customHeight="1" x14ac:dyDescent="0.25">
      <c r="A1" s="365" t="s">
        <v>753</v>
      </c>
      <c r="B1" s="365"/>
      <c r="C1" s="365"/>
    </row>
    <row r="2" spans="1:4" x14ac:dyDescent="0.25">
      <c r="A2" s="32" t="s">
        <v>3</v>
      </c>
      <c r="B2" s="17" t="s">
        <v>39</v>
      </c>
      <c r="C2" s="33" t="s">
        <v>293</v>
      </c>
    </row>
    <row r="3" spans="1:4" x14ac:dyDescent="0.25">
      <c r="A3" s="18" t="s">
        <v>22</v>
      </c>
      <c r="B3" s="19">
        <v>2.961135233474833E-2</v>
      </c>
      <c r="C3" s="20">
        <v>8.1004158110882962E-2</v>
      </c>
      <c r="D3" s="15"/>
    </row>
    <row r="4" spans="1:4" x14ac:dyDescent="0.25">
      <c r="A4" s="18" t="s">
        <v>23</v>
      </c>
      <c r="B4" s="19">
        <v>3.689776834445118E-2</v>
      </c>
      <c r="C4" s="20">
        <v>8.287530800821355E-2</v>
      </c>
    </row>
    <row r="5" spans="1:4" x14ac:dyDescent="0.25">
      <c r="A5" s="18" t="s">
        <v>24</v>
      </c>
      <c r="B5" s="19">
        <v>3.1598556701030928E-2</v>
      </c>
      <c r="C5" s="20">
        <v>8.2251591375770025E-2</v>
      </c>
    </row>
    <row r="6" spans="1:4" x14ac:dyDescent="0.25">
      <c r="A6" s="18" t="s">
        <v>25</v>
      </c>
      <c r="B6" s="19">
        <v>3.424816252274105E-2</v>
      </c>
      <c r="C6" s="20">
        <v>8.4434599589322382E-2</v>
      </c>
    </row>
    <row r="7" spans="1:4" x14ac:dyDescent="0.25">
      <c r="A7" s="18" t="s">
        <v>26</v>
      </c>
      <c r="B7" s="19">
        <v>3.0815718617343842E-2</v>
      </c>
      <c r="C7" s="20">
        <v>8.0692299794661193E-2</v>
      </c>
    </row>
    <row r="8" spans="1:4" x14ac:dyDescent="0.25">
      <c r="A8" s="18" t="s">
        <v>27</v>
      </c>
      <c r="B8" s="19">
        <v>2.7563929654335961E-2</v>
      </c>
      <c r="C8" s="20">
        <v>8.1939733059548256E-2</v>
      </c>
    </row>
    <row r="9" spans="1:4" x14ac:dyDescent="0.25">
      <c r="A9" s="18" t="s">
        <v>28</v>
      </c>
      <c r="B9" s="19">
        <v>3.6235366889023651E-2</v>
      </c>
      <c r="C9" s="20">
        <v>8.0692299794661193E-2</v>
      </c>
    </row>
    <row r="10" spans="1:4" x14ac:dyDescent="0.25">
      <c r="A10" s="18" t="s">
        <v>29</v>
      </c>
      <c r="B10" s="19">
        <v>3.2802922983626442E-2</v>
      </c>
      <c r="C10" s="20">
        <v>8.3062422997946611E-2</v>
      </c>
    </row>
    <row r="11" spans="1:4" x14ac:dyDescent="0.25">
      <c r="A11" s="18" t="s">
        <v>30</v>
      </c>
      <c r="B11" s="19">
        <v>2.961135233474833E-2</v>
      </c>
      <c r="C11" s="20">
        <v>8.0068583162217669E-2</v>
      </c>
    </row>
    <row r="12" spans="1:4" x14ac:dyDescent="0.25">
      <c r="A12" s="18" t="s">
        <v>31</v>
      </c>
      <c r="B12" s="19">
        <v>3.1959866585809578E-2</v>
      </c>
      <c r="C12" s="20">
        <v>8.0848228952772078E-2</v>
      </c>
    </row>
    <row r="13" spans="1:4" x14ac:dyDescent="0.25">
      <c r="A13" s="18" t="s">
        <v>32</v>
      </c>
      <c r="B13" s="19">
        <v>3.1478120072771378E-2</v>
      </c>
      <c r="C13" s="20">
        <v>8.1160087268993847E-2</v>
      </c>
    </row>
    <row r="14" spans="1:4" x14ac:dyDescent="0.25">
      <c r="A14" s="18" t="s">
        <v>33</v>
      </c>
      <c r="B14" s="19">
        <v>3.5031000606428137E-2</v>
      </c>
      <c r="C14" s="20">
        <v>8.0193326488706362E-2</v>
      </c>
    </row>
    <row r="15" spans="1:4" x14ac:dyDescent="0.25">
      <c r="A15" s="18" t="s">
        <v>34</v>
      </c>
      <c r="B15" s="19">
        <v>3.4187944208611279E-2</v>
      </c>
      <c r="C15" s="20">
        <v>7.6950000000000005E-2</v>
      </c>
    </row>
    <row r="16" spans="1:4" x14ac:dyDescent="0.25">
      <c r="A16" s="18" t="s">
        <v>4</v>
      </c>
      <c r="B16" s="19">
        <v>3.7379514857489388E-2</v>
      </c>
      <c r="C16" s="20">
        <v>7.6950000000000005E-2</v>
      </c>
    </row>
    <row r="17" spans="1:3" x14ac:dyDescent="0.25">
      <c r="A17" s="18" t="s">
        <v>35</v>
      </c>
      <c r="B17" s="19">
        <v>3.7078423286840509E-2</v>
      </c>
      <c r="C17" s="20">
        <v>8.1877361396303902E-2</v>
      </c>
    </row>
    <row r="18" spans="1:3" x14ac:dyDescent="0.25">
      <c r="A18" s="18" t="s">
        <v>279</v>
      </c>
      <c r="B18" s="19">
        <f>AVERAGE(B3:B17)</f>
        <v>3.3099999999999997E-2</v>
      </c>
      <c r="C18" s="19">
        <f>AVERAGE(C3:C17)</f>
        <v>8.1000000000000016E-2</v>
      </c>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Cost Guide Tables</vt:lpstr>
      <vt:lpstr>Exploratory cost estimate</vt:lpstr>
      <vt:lpstr>Line Exploratory example</vt:lpstr>
      <vt:lpstr>Substation Explor. example </vt:lpstr>
      <vt:lpstr>Exploratory cost data</vt:lpstr>
      <vt:lpstr>Costs over time estimate</vt:lpstr>
      <vt:lpstr>Cost over time data</vt:lpstr>
      <vt:lpstr>'Cost Guide Tables'!_Hlk155609209</vt:lpstr>
      <vt:lpstr>'Cost Guide Tables'!Print_Area</vt:lpstr>
      <vt:lpstr>'Cost Guide Tables'!Print_Titles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Monn;dmittelstaedt@misoenergy.org</dc:creator>
  <cp:lastModifiedBy>Dan Mittelstaedt</cp:lastModifiedBy>
  <cp:lastPrinted>2024-07-10T14:20:26Z</cp:lastPrinted>
  <dcterms:created xsi:type="dcterms:W3CDTF">2015-06-05T18:17:20Z</dcterms:created>
  <dcterms:modified xsi:type="dcterms:W3CDTF">2025-09-26T13:55:25Z</dcterms:modified>
</cp:coreProperties>
</file>